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65" yWindow="4095" windowWidth="19335" windowHeight="8580"/>
  </bookViews>
  <sheets>
    <sheet name="StormChamber System Calculator" sheetId="1" r:id="rId1"/>
    <sheet name="Hidden list" sheetId="2" state="veryHidden" r:id="rId2"/>
  </sheets>
  <definedNames>
    <definedName name="AllChambers">'Hidden list'!$A$4:$A$6</definedName>
    <definedName name="Chambers">'Hidden list'!$A$4:$A$5</definedName>
    <definedName name="Constraint">'Hidden list'!$A$14:$A$15</definedName>
    <definedName name="NY">'Hidden list'!$A$11:$A$12</definedName>
    <definedName name="SCalt">'Hidden list'!$B$4:$B$6</definedName>
    <definedName name="UnitSystem">'Hidden list'!$A$1:$A$2</definedName>
    <definedName name="YN">'Hidden list'!$A$8:$A$9</definedName>
  </definedNames>
  <calcPr calcId="125725"/>
</workbook>
</file>

<file path=xl/calcChain.xml><?xml version="1.0" encoding="utf-8"?>
<calcChain xmlns="http://schemas.openxmlformats.org/spreadsheetml/2006/main">
  <c r="B75" i="1"/>
  <c r="BD79"/>
  <c r="BD78"/>
  <c r="AY79"/>
  <c r="AY78"/>
  <c r="BD67"/>
  <c r="BD65"/>
  <c r="AY67"/>
  <c r="AY65"/>
  <c r="BD53"/>
  <c r="BD51"/>
  <c r="AY53"/>
  <c r="AY51"/>
  <c r="BD5"/>
  <c r="AZ7"/>
  <c r="AZ5"/>
  <c r="F55"/>
  <c r="C29"/>
  <c r="B27"/>
  <c r="B31"/>
  <c r="C45"/>
  <c r="C39"/>
  <c r="O51"/>
  <c r="O39"/>
  <c r="O27"/>
  <c r="B43"/>
  <c r="C41"/>
  <c r="E98"/>
  <c r="F98"/>
  <c r="Q102"/>
  <c r="T97"/>
  <c r="BA108" l="1"/>
  <c r="AY107"/>
  <c r="Y17"/>
  <c r="K55"/>
  <c r="K45"/>
  <c r="H55" l="1"/>
  <c r="C99" s="1"/>
  <c r="D99"/>
  <c r="V82"/>
  <c r="B25" l="1"/>
  <c r="Z95"/>
  <c r="Z89"/>
  <c r="Z87"/>
  <c r="C89"/>
  <c r="C87"/>
  <c r="O99"/>
  <c r="B87"/>
  <c r="V17" l="1"/>
  <c r="AY41"/>
  <c r="BD77"/>
  <c r="BE77" s="1"/>
  <c r="AY77"/>
  <c r="BD63"/>
  <c r="BE63" s="1"/>
  <c r="AY63"/>
  <c r="BD49"/>
  <c r="AY49"/>
  <c r="BA49" l="1"/>
  <c r="AZ49"/>
  <c r="AZ51"/>
  <c r="BA51"/>
  <c r="AZ63"/>
  <c r="BF49"/>
  <c r="BE49"/>
  <c r="AZ78"/>
  <c r="BA78"/>
  <c r="BA65"/>
  <c r="AZ65"/>
  <c r="AZ77"/>
  <c r="BD7"/>
  <c r="BG5"/>
  <c r="BT113"/>
  <c r="BF63"/>
  <c r="BF65"/>
  <c r="AZ75"/>
  <c r="BF75"/>
  <c r="BF80" s="1"/>
  <c r="BF77"/>
  <c r="BE78"/>
  <c r="BA75"/>
  <c r="BA80" s="1"/>
  <c r="BQ135"/>
  <c r="BO149"/>
  <c r="BO154" s="1"/>
  <c r="BY155"/>
  <c r="BS135"/>
  <c r="BQ109"/>
  <c r="BR91"/>
  <c r="AY47"/>
  <c r="AZ47" s="1"/>
  <c r="BD47"/>
  <c r="BE47" s="1"/>
  <c r="BE51"/>
  <c r="BV2"/>
  <c r="BE75"/>
  <c r="BE80" s="1"/>
  <c r="BS2"/>
  <c r="BY8" s="1"/>
  <c r="BT2"/>
  <c r="BU2"/>
  <c r="AY75"/>
  <c r="BD75"/>
  <c r="AY61"/>
  <c r="BA61" s="1"/>
  <c r="BD61"/>
  <c r="BF61" s="1"/>
  <c r="BC85"/>
  <c r="BB85"/>
  <c r="BA85"/>
  <c r="AZ85"/>
  <c r="AY85"/>
  <c r="AX79"/>
  <c r="AX78"/>
  <c r="AX77"/>
  <c r="AX75"/>
  <c r="AX67"/>
  <c r="AX65"/>
  <c r="AX63"/>
  <c r="AX61"/>
  <c r="AX53"/>
  <c r="AX51"/>
  <c r="AX49"/>
  <c r="AX47"/>
  <c r="P57"/>
  <c r="AX110"/>
  <c r="Y57"/>
  <c r="Y45"/>
  <c r="Y33"/>
  <c r="BR133"/>
  <c r="BQ133"/>
  <c r="K31"/>
  <c r="K27"/>
  <c r="H133"/>
  <c r="CA93"/>
  <c r="BY93"/>
  <c r="BR79"/>
  <c r="BQ79"/>
  <c r="BR24"/>
  <c r="BL129"/>
  <c r="BK129"/>
  <c r="BL75"/>
  <c r="BK75"/>
  <c r="BK9"/>
  <c r="BL9"/>
  <c r="BK35"/>
  <c r="BK33"/>
  <c r="BK31"/>
  <c r="BR8"/>
  <c r="BQ8"/>
  <c r="Y69"/>
  <c r="Y67"/>
  <c r="Y65"/>
  <c r="Y63"/>
  <c r="AY98"/>
  <c r="AZ88"/>
  <c r="AY88"/>
  <c r="AW73"/>
  <c r="AW59"/>
  <c r="AW45"/>
  <c r="AW41"/>
  <c r="BC88"/>
  <c r="BB88"/>
  <c r="BA88"/>
  <c r="AY109"/>
  <c r="AY105"/>
  <c r="AY103"/>
  <c r="AY102"/>
  <c r="AY100"/>
  <c r="Y71"/>
  <c r="Y82"/>
  <c r="Y80"/>
  <c r="Y79"/>
  <c r="Y78"/>
  <c r="Y15"/>
  <c r="Q57"/>
  <c r="Q53"/>
  <c r="Q55"/>
  <c r="Q45"/>
  <c r="Q41"/>
  <c r="Q43"/>
  <c r="Q33"/>
  <c r="Q29"/>
  <c r="Q31"/>
  <c r="K39"/>
  <c r="K29"/>
  <c r="K25"/>
  <c r="BG7"/>
  <c r="K17"/>
  <c r="I154"/>
  <c r="H154"/>
  <c r="I153"/>
  <c r="H153"/>
  <c r="I152"/>
  <c r="H152"/>
  <c r="I151"/>
  <c r="H151"/>
  <c r="I150"/>
  <c r="H150"/>
  <c r="I149"/>
  <c r="H149"/>
  <c r="I133"/>
  <c r="I134"/>
  <c r="I135"/>
  <c r="I136"/>
  <c r="I137"/>
  <c r="I138"/>
  <c r="H138"/>
  <c r="H136"/>
  <c r="H135"/>
  <c r="H137"/>
  <c r="H134"/>
  <c r="Y95"/>
  <c r="Y89"/>
  <c r="Y87"/>
  <c r="B89"/>
  <c r="AY97"/>
  <c r="AW71"/>
  <c r="V81"/>
  <c r="BO151"/>
  <c r="BK92"/>
  <c r="BK91"/>
  <c r="BK148"/>
  <c r="BK150"/>
  <c r="BK93"/>
  <c r="AW43"/>
  <c r="AZ9" l="1"/>
  <c r="BD9" s="1"/>
  <c r="AZ53"/>
  <c r="BD41"/>
  <c r="BE53"/>
  <c r="BG53" s="1"/>
  <c r="BH33"/>
  <c r="BH37"/>
  <c r="BS81"/>
  <c r="BG33"/>
  <c r="BD33"/>
  <c r="BD11"/>
  <c r="AZ11"/>
  <c r="BT135"/>
  <c r="BV135" s="1"/>
  <c r="BR142" s="1"/>
  <c r="BG11"/>
  <c r="BA98"/>
  <c r="BC41"/>
  <c r="AZ33"/>
  <c r="BR135"/>
  <c r="AZ31"/>
  <c r="BD31" s="1"/>
  <c r="AZ61"/>
  <c r="AZ21" s="1"/>
  <c r="P45"/>
  <c r="BE61"/>
  <c r="BF69"/>
  <c r="BF67"/>
  <c r="BH67" s="1"/>
  <c r="BS156"/>
  <c r="AZ80"/>
  <c r="BV79"/>
  <c r="BU139"/>
  <c r="AZ55"/>
  <c r="BQ16"/>
  <c r="BE55"/>
  <c r="BE79"/>
  <c r="BF51"/>
  <c r="BE65"/>
  <c r="BF78"/>
  <c r="BF79" s="1"/>
  <c r="BA47"/>
  <c r="BF47"/>
  <c r="BB98"/>
  <c r="BH90"/>
  <c r="BT133"/>
  <c r="V67"/>
  <c r="V69" s="1"/>
  <c r="BA63"/>
  <c r="CA28"/>
  <c r="P33"/>
  <c r="BA77"/>
  <c r="BA79" s="1"/>
  <c r="BC79" s="1"/>
  <c r="BC80" s="1"/>
  <c r="BR16"/>
  <c r="BT79"/>
  <c r="BS8"/>
  <c r="BX8"/>
  <c r="BT8"/>
  <c r="BU16"/>
  <c r="BX133"/>
  <c r="BY28"/>
  <c r="BV133"/>
  <c r="BS79"/>
  <c r="BU85"/>
  <c r="BT85"/>
  <c r="BT139"/>
  <c r="BA100"/>
  <c r="BF3"/>
  <c r="BV8"/>
  <c r="BT16"/>
  <c r="BR85"/>
  <c r="BR139"/>
  <c r="BB100"/>
  <c r="BB41"/>
  <c r="BQ85"/>
  <c r="BQ139"/>
  <c r="CA147"/>
  <c r="BC100"/>
  <c r="BX79"/>
  <c r="BS133"/>
  <c r="BY147"/>
  <c r="BC98"/>
  <c r="BQ148"/>
  <c r="U53"/>
  <c r="BR148"/>
  <c r="BE67" l="1"/>
  <c r="BG67" s="1"/>
  <c r="BA53"/>
  <c r="BC53" s="1"/>
  <c r="BN61" s="1"/>
  <c r="BH7"/>
  <c r="BH11"/>
  <c r="BF53"/>
  <c r="BH53" s="1"/>
  <c r="BT81"/>
  <c r="BV81" s="1"/>
  <c r="BR88" s="1"/>
  <c r="BG21"/>
  <c r="AZ67"/>
  <c r="BB67" s="1"/>
  <c r="BG19" s="1"/>
  <c r="BH19"/>
  <c r="BH23"/>
  <c r="BD21"/>
  <c r="AZ19"/>
  <c r="BD19" s="1"/>
  <c r="BA69"/>
  <c r="BE69"/>
  <c r="AZ69"/>
  <c r="BH69"/>
  <c r="BH79"/>
  <c r="BN166" s="1"/>
  <c r="BG79"/>
  <c r="BG80" s="1"/>
  <c r="P55"/>
  <c r="BD13"/>
  <c r="AZ13"/>
  <c r="AZ35"/>
  <c r="BH41" s="1"/>
  <c r="BT148"/>
  <c r="BW148" s="1"/>
  <c r="BD35"/>
  <c r="BG41"/>
  <c r="AZ79"/>
  <c r="BB79" s="1"/>
  <c r="BN159" s="1"/>
  <c r="BD98"/>
  <c r="BF55"/>
  <c r="BA55"/>
  <c r="BA67"/>
  <c r="BC67" s="1"/>
  <c r="BN110"/>
  <c r="BN111"/>
  <c r="BN162"/>
  <c r="BN161"/>
  <c r="BD100"/>
  <c r="BE100" s="1"/>
  <c r="BS148"/>
  <c r="BH15" l="1"/>
  <c r="BU148"/>
  <c r="BT153" s="1"/>
  <c r="BH80"/>
  <c r="BB80"/>
  <c r="BX135"/>
  <c r="BG23"/>
  <c r="BC69"/>
  <c r="BN103"/>
  <c r="AZ23"/>
  <c r="BB69"/>
  <c r="BN104"/>
  <c r="BD23"/>
  <c r="BN167"/>
  <c r="BN164"/>
  <c r="BN165"/>
  <c r="BN71"/>
  <c r="BN109"/>
  <c r="BG69"/>
  <c r="BB53"/>
  <c r="BE98" s="1"/>
  <c r="BC92" s="1"/>
  <c r="BG9"/>
  <c r="BG13" s="1"/>
  <c r="BN108"/>
  <c r="BG31"/>
  <c r="BG35" s="1"/>
  <c r="BN160"/>
  <c r="BH55"/>
  <c r="BN69"/>
  <c r="BN59"/>
  <c r="BC55"/>
  <c r="BN106"/>
  <c r="BN105"/>
  <c r="BN67"/>
  <c r="BG55"/>
  <c r="BT142" l="1"/>
  <c r="BS153"/>
  <c r="BV153" s="1"/>
  <c r="BQ142"/>
  <c r="CA134"/>
  <c r="BH27"/>
  <c r="CA149"/>
  <c r="BN65"/>
  <c r="BN55"/>
  <c r="BB55"/>
  <c r="BN57"/>
  <c r="BL137"/>
  <c r="BL145"/>
  <c r="BU142" l="1"/>
  <c r="BS157"/>
  <c r="BL141" s="1"/>
  <c r="BO150"/>
  <c r="BO153" s="1"/>
  <c r="BN137"/>
  <c r="BM137"/>
  <c r="BN145"/>
  <c r="BM145"/>
  <c r="CA155"/>
  <c r="BZ134" l="1"/>
  <c r="BO148"/>
  <c r="BO137"/>
  <c r="BM141"/>
  <c r="BY149"/>
  <c r="BN141"/>
  <c r="X53"/>
  <c r="P53"/>
  <c r="AY118" s="1"/>
  <c r="BL133"/>
  <c r="BO145"/>
  <c r="BM133" l="1"/>
  <c r="BM146" s="1"/>
  <c r="BL146"/>
  <c r="BO141"/>
  <c r="AZ118"/>
  <c r="BA118" s="1"/>
  <c r="V59"/>
  <c r="BN133"/>
  <c r="BN146" s="1"/>
  <c r="BO157"/>
  <c r="BO133" l="1"/>
  <c r="BO152" l="1"/>
  <c r="BQ81" s="1"/>
  <c r="BQ94" s="1"/>
  <c r="BO146"/>
  <c r="BR81" l="1"/>
  <c r="BX81"/>
  <c r="CA95" s="1"/>
  <c r="V57"/>
  <c r="CA80" l="1"/>
  <c r="BT88"/>
  <c r="BQ88"/>
  <c r="BU88" l="1"/>
  <c r="BZ80" s="1"/>
  <c r="BY95" l="1"/>
  <c r="BO91" s="1"/>
  <c r="BY101" l="1"/>
  <c r="BO92"/>
  <c r="BO98" s="1"/>
  <c r="BR94" l="1"/>
  <c r="BS94" s="1"/>
  <c r="BR109"/>
  <c r="P43"/>
  <c r="BS12"/>
  <c r="BT12" s="1"/>
  <c r="BV12" s="1"/>
  <c r="BS99" l="1"/>
  <c r="BU94"/>
  <c r="BT94"/>
  <c r="BW94" s="1"/>
  <c r="BT99" l="1"/>
  <c r="BV99" s="1"/>
  <c r="BQ104" l="1"/>
  <c r="BR104"/>
  <c r="BT114"/>
  <c r="BS109"/>
  <c r="BT109" s="1"/>
  <c r="CA101"/>
  <c r="BL79" l="1"/>
  <c r="BT104"/>
  <c r="BS104"/>
  <c r="BT115"/>
  <c r="BY105" s="1"/>
  <c r="BT118"/>
  <c r="BO93" s="1"/>
  <c r="BO97" s="1"/>
  <c r="BT120"/>
  <c r="BT122"/>
  <c r="BO94" l="1"/>
  <c r="BT116"/>
  <c r="BO95" s="1"/>
  <c r="BM79"/>
  <c r="BN79"/>
  <c r="BL82"/>
  <c r="BW121"/>
  <c r="P41"/>
  <c r="AY114" s="1"/>
  <c r="BT117"/>
  <c r="BL85" s="1"/>
  <c r="U41" l="1"/>
  <c r="X41" s="1"/>
  <c r="BL88"/>
  <c r="BM88" s="1"/>
  <c r="BN85"/>
  <c r="BM85"/>
  <c r="BN82"/>
  <c r="BR20"/>
  <c r="BM82"/>
  <c r="U43"/>
  <c r="X43" s="1"/>
  <c r="BO79"/>
  <c r="CA105"/>
  <c r="BL89" l="1"/>
  <c r="BM89"/>
  <c r="BO82"/>
  <c r="BN88"/>
  <c r="V47"/>
  <c r="AZ114"/>
  <c r="BA114" s="1"/>
  <c r="BO101"/>
  <c r="BO88" l="1"/>
  <c r="BN89"/>
  <c r="BO85"/>
  <c r="BO89" l="1"/>
  <c r="BO96"/>
  <c r="BQ28" s="1"/>
  <c r="BQ12" l="1"/>
  <c r="V45"/>
  <c r="BR12" l="1"/>
  <c r="BY12"/>
  <c r="BX12"/>
  <c r="CA32" l="1"/>
  <c r="BT20"/>
  <c r="CA10"/>
  <c r="BQ20"/>
  <c r="BU20" l="1"/>
  <c r="BZ10" s="1"/>
  <c r="BO33" l="1"/>
  <c r="BO45" s="1"/>
  <c r="P31" s="1"/>
  <c r="BY32"/>
  <c r="BW2" s="1"/>
  <c r="H43" s="1"/>
  <c r="B68" s="1"/>
  <c r="BY40"/>
  <c r="BO31"/>
  <c r="BR28" l="1"/>
  <c r="BT28" s="1"/>
  <c r="BW28" s="1"/>
  <c r="BS34"/>
  <c r="BU28" l="1"/>
  <c r="BT34" s="1"/>
  <c r="BV34" s="1"/>
  <c r="BQ40" s="1"/>
  <c r="BS28"/>
  <c r="BT57"/>
  <c r="BR40" l="1"/>
  <c r="BT40" s="1"/>
  <c r="BQ46" s="1"/>
  <c r="BR54"/>
  <c r="BS54" s="1"/>
  <c r="BU54" s="1"/>
  <c r="BW54" s="1"/>
  <c r="BQ54"/>
  <c r="BT54" s="1"/>
  <c r="CA40"/>
  <c r="BS40" l="1"/>
  <c r="BR46"/>
  <c r="BT46" s="1"/>
  <c r="BS46"/>
  <c r="CA46"/>
  <c r="BR60"/>
  <c r="BQ60"/>
  <c r="BT65"/>
  <c r="BO35"/>
  <c r="BV61"/>
  <c r="BV63" s="1"/>
  <c r="CA42"/>
  <c r="BY46" l="1"/>
  <c r="BO43"/>
  <c r="P29" s="1"/>
  <c r="BT59"/>
  <c r="BT63" s="1"/>
  <c r="V63" l="1"/>
  <c r="BF90" s="1"/>
  <c r="V65"/>
  <c r="BG90" s="1"/>
  <c r="BL21"/>
  <c r="BT61"/>
  <c r="BO39" s="1"/>
  <c r="U31" s="1"/>
  <c r="BO37"/>
  <c r="BL25"/>
  <c r="BM25" s="1"/>
  <c r="BL17"/>
  <c r="BM17" s="1"/>
  <c r="BM21" l="1"/>
  <c r="AX90"/>
  <c r="V80"/>
  <c r="AY94"/>
  <c r="B65"/>
  <c r="BN17"/>
  <c r="BO17" s="1"/>
  <c r="BN21"/>
  <c r="X29"/>
  <c r="BK49"/>
  <c r="X31"/>
  <c r="BG97"/>
  <c r="BG98" s="1"/>
  <c r="BL13"/>
  <c r="BM13" s="1"/>
  <c r="BN25"/>
  <c r="U29"/>
  <c r="Q39" s="1"/>
  <c r="BO25"/>
  <c r="BM27" l="1"/>
  <c r="BN13"/>
  <c r="BN27" s="1"/>
  <c r="BO21"/>
  <c r="V35"/>
  <c r="AY111"/>
  <c r="AY115" s="1"/>
  <c r="AY119" s="1"/>
  <c r="Q27"/>
  <c r="H49"/>
  <c r="BO51"/>
  <c r="V19" s="1"/>
  <c r="AZ111"/>
  <c r="AZ115" s="1"/>
  <c r="AZ119" s="1"/>
  <c r="V71"/>
  <c r="V79" s="1"/>
  <c r="BF97"/>
  <c r="BF98" s="1"/>
  <c r="AZ94" s="1"/>
  <c r="BL27"/>
  <c r="BO13" l="1"/>
  <c r="BO27" s="1"/>
  <c r="BA111"/>
  <c r="BA115" s="1"/>
  <c r="BA119" s="1"/>
  <c r="V78"/>
  <c r="BO41" l="1"/>
  <c r="V15" s="1"/>
  <c r="V21" l="1"/>
  <c r="B70"/>
  <c r="V33"/>
</calcChain>
</file>

<file path=xl/sharedStrings.xml><?xml version="1.0" encoding="utf-8"?>
<sst xmlns="http://schemas.openxmlformats.org/spreadsheetml/2006/main" count="466" uniqueCount="222">
  <si>
    <t>Location:</t>
  </si>
  <si>
    <t>Date:</t>
  </si>
  <si>
    <t>STORMCHAMBER DESIGN CALCULATOR</t>
  </si>
  <si>
    <t>%</t>
  </si>
  <si>
    <t>SC-44</t>
  </si>
  <si>
    <t>SedimenTrap</t>
  </si>
  <si>
    <t>Metric</t>
  </si>
  <si>
    <t>SC-34W</t>
  </si>
  <si>
    <t>Chamber</t>
  </si>
  <si>
    <t>ENTER SYSTEM PARAMETERS</t>
  </si>
  <si>
    <t>Engineer:</t>
  </si>
  <si>
    <t>Project Name:</t>
  </si>
  <si>
    <t>Required Storage Volume</t>
  </si>
  <si>
    <t>SYSTEM RESULTS</t>
  </si>
  <si>
    <t>Total Number of Chambers Required</t>
  </si>
  <si>
    <t>Rows/Chambers</t>
  </si>
  <si>
    <t>Row(s) of</t>
  </si>
  <si>
    <t>Chambers</t>
  </si>
  <si>
    <t>System Components</t>
  </si>
  <si>
    <t>Non-woven Filter Fabric Required</t>
  </si>
  <si>
    <t>end row stone</t>
  </si>
  <si>
    <t>End row total</t>
  </si>
  <si>
    <t>Middle row Stone</t>
  </si>
  <si>
    <t>Middle row Total</t>
  </si>
  <si>
    <t>Middle Chamber</t>
  </si>
  <si>
    <t>Start and End Chamber</t>
  </si>
  <si>
    <t>stone</t>
  </si>
  <si>
    <t>chamber</t>
  </si>
  <si>
    <t>total</t>
  </si>
  <si>
    <t>total end-row end-chamber volumes</t>
  </si>
  <si>
    <t>total end-row middle-chamber volumes</t>
  </si>
  <si>
    <t>total middle-row end-chamber volumes</t>
  </si>
  <si>
    <t>Number of chambers</t>
  </si>
  <si>
    <t>note: F11 is required storage</t>
  </si>
  <si>
    <t>Confirming System Calculations</t>
  </si>
  <si>
    <t>note: F25 is direction of constraint (W or L)</t>
  </si>
  <si>
    <t>note: F27 is dimension of constraint</t>
  </si>
  <si>
    <t>note: F9 is unit type</t>
  </si>
  <si>
    <t>total full middle-row middle-chamber volumes</t>
  </si>
  <si>
    <t>note: Calculations assume both end rows have the max number of chambers per row due to these rows having the least stone storage space.</t>
  </si>
  <si>
    <t>note: Calculations assume chambers will be distributed between rows as evenly as possible.</t>
  </si>
  <si>
    <t>not: F49 is the number of rows</t>
  </si>
  <si>
    <t>Number of Full Rows</t>
  </si>
  <si>
    <t>Length of chamber row</t>
  </si>
  <si>
    <t>Width of all chamber rows</t>
  </si>
  <si>
    <t>Chosen number of rows</t>
  </si>
  <si>
    <t>Layer 1 Calculation check</t>
  </si>
  <si>
    <t>Layer 2 Calculation check</t>
  </si>
  <si>
    <t>width is 1 length is 2</t>
  </si>
  <si>
    <t>layer constraint dimension</t>
  </si>
  <si>
    <t>1st layer</t>
  </si>
  <si>
    <t>2nd layer</t>
  </si>
  <si>
    <t>3rd layer</t>
  </si>
  <si>
    <t>max/min suggested number of rows for bottom layer</t>
  </si>
  <si>
    <t>Do you need impervious liner to restrict infiltration?</t>
  </si>
  <si>
    <t>Impervious Liner</t>
  </si>
  <si>
    <t>total middle-row middle-chamber volumes</t>
  </si>
  <si>
    <t>Pieces</t>
  </si>
  <si>
    <t>Number of Inflows</t>
  </si>
  <si>
    <t>Total System Dimensions</t>
  </si>
  <si>
    <t>Width</t>
  </si>
  <si>
    <t>Length</t>
  </si>
  <si>
    <t>Depth</t>
  </si>
  <si>
    <t>total chambers</t>
  </si>
  <si>
    <t>start/end</t>
  </si>
  <si>
    <t>middle</t>
  </si>
  <si>
    <t>total volume</t>
  </si>
  <si>
    <t>spatial volume of C and stone: Storage V/c.in.</t>
  </si>
  <si>
    <t>bottom layer constraint direction</t>
  </si>
  <si>
    <t>System Depth</t>
  </si>
  <si>
    <t>Do you want to Include the Perimeter Stone Storage when Calculating the number of chambers?</t>
  </si>
  <si>
    <t>min stone below</t>
  </si>
  <si>
    <t>max stone below</t>
  </si>
  <si>
    <t>min stone above</t>
  </si>
  <si>
    <t>max stone above</t>
  </si>
  <si>
    <t>min average cover</t>
  </si>
  <si>
    <t>max average cover</t>
  </si>
  <si>
    <t>space between rows</t>
  </si>
  <si>
    <t>Trench Depth</t>
  </si>
  <si>
    <t>stone below min</t>
  </si>
  <si>
    <t>stone below max</t>
  </si>
  <si>
    <t>cover min</t>
  </si>
  <si>
    <t>cover max</t>
  </si>
  <si>
    <t>space between layer</t>
  </si>
  <si>
    <t>space between layers</t>
  </si>
  <si>
    <t>L1 min</t>
  </si>
  <si>
    <t>max</t>
  </si>
  <si>
    <t>L2 min</t>
  </si>
  <si>
    <t>L3 min</t>
  </si>
  <si>
    <t>Layer Width</t>
  </si>
  <si>
    <t>Layer Depth</t>
  </si>
  <si>
    <t>Layer Length</t>
  </si>
  <si>
    <t>eCeR storage volume area of width-height</t>
  </si>
  <si>
    <t>eCeR Storage volume area of length-height</t>
  </si>
  <si>
    <t>mCeR storage volume area of width-height</t>
  </si>
  <si>
    <t>eCmR storage volume area of width-height</t>
  </si>
  <si>
    <t>eCmR Storage volume area of length-height</t>
  </si>
  <si>
    <t>mCeR storage volume area of length-height</t>
  </si>
  <si>
    <t>mCmR storage volume area of width-height</t>
  </si>
  <si>
    <t>mCmR storage volume area of length-height</t>
  </si>
  <si>
    <t>width of suggested rows</t>
  </si>
  <si>
    <t>length of sugested number of C per R</t>
  </si>
  <si>
    <t>yes</t>
  </si>
  <si>
    <t>no</t>
  </si>
  <si>
    <t>Choose the Chamber Model</t>
  </si>
  <si>
    <t>Imperial</t>
  </si>
  <si>
    <t>Suggested</t>
  </si>
  <si>
    <t>Actual</t>
  </si>
  <si>
    <t>Number of Rows</t>
  </si>
  <si>
    <t>Number of Chambers per Full Row</t>
  </si>
  <si>
    <t>Required Storage</t>
  </si>
  <si>
    <t>Number of End Rows</t>
  </si>
  <si>
    <t>Number of Middle Rows</t>
  </si>
  <si>
    <t>Volume of ECER*Number of End Rows</t>
  </si>
  <si>
    <t>Volume of ECMR*Number of Middle Rows</t>
  </si>
  <si>
    <t>Max Number of End Chambers per Full Row</t>
  </si>
  <si>
    <t>Max Number of Middle Chambers per Full Row</t>
  </si>
  <si>
    <t>Max number of Chambers per full Row</t>
  </si>
  <si>
    <t>Number of Partial Row End Chambers</t>
  </si>
  <si>
    <t>Number of Partial Row Middle Chambers</t>
  </si>
  <si>
    <t>Total Number of Chambers per Partial Row</t>
  </si>
  <si>
    <t>(Using Dimension Constraints)</t>
  </si>
  <si>
    <t>L1</t>
  </si>
  <si>
    <t>L2</t>
  </si>
  <si>
    <t>purpose of this area is to discover the minimum and maximum allowable number of rows based on the dimension constraints</t>
  </si>
  <si>
    <t>purpose of this section is to determin the number of chambers per full/partial row using the chosen/default number of rows</t>
  </si>
  <si>
    <t>Volume of full end Row</t>
  </si>
  <si>
    <t>Volume of Full Mid Row</t>
  </si>
  <si>
    <t>Number of full middle rows</t>
  </si>
  <si>
    <t>Number of full rows</t>
  </si>
  <si>
    <t>Installed System Storage Volume</t>
  </si>
  <si>
    <t>Remaining Volume for Partial Row</t>
  </si>
  <si>
    <t>remaining volume</t>
  </si>
  <si>
    <t>number of end rows in remaining volume</t>
  </si>
  <si>
    <t>Number of middle rows in remaining volume</t>
  </si>
  <si>
    <t>max number of rows</t>
  </si>
  <si>
    <t>min C per row</t>
  </si>
  <si>
    <t>max C per row</t>
  </si>
  <si>
    <t>aka number of rows with max number of chambers</t>
  </si>
  <si>
    <t>aka chosen number of rows</t>
  </si>
  <si>
    <t>number of extra Ch</t>
  </si>
  <si>
    <t>Are there Rows with more chambers than other rows</t>
  </si>
  <si>
    <t>number of R with min C</t>
  </si>
  <si>
    <t>Volume of end chambers in all Rs by min C per R</t>
  </si>
  <si>
    <t>volume of mid chambers in all Rs by min C per R</t>
  </si>
  <si>
    <t>total volume of all Rs by the min number of chambers per Row</t>
  </si>
  <si>
    <t xml:space="preserve">are there more than 15 rows </t>
  </si>
  <si>
    <t>aka, is the inflow row above greater than 125ft</t>
  </si>
  <si>
    <t>are there less than 4 R</t>
  </si>
  <si>
    <t>aka are there less that 4 chambers in the inflow row above</t>
  </si>
  <si>
    <t>resulting number of sedimentraps</t>
  </si>
  <si>
    <t>number of full rows</t>
  </si>
  <si>
    <t>Number of chambers in partial row</t>
  </si>
  <si>
    <t>Number of Sedimentraps (aka number of short rows)</t>
  </si>
  <si>
    <t>number of chambers in short rows</t>
  </si>
  <si>
    <t>number of middle chambers in short row</t>
  </si>
  <si>
    <t>number of rows</t>
  </si>
  <si>
    <t>number of chambers per row</t>
  </si>
  <si>
    <t>Layer 3 Calculation check</t>
  </si>
  <si>
    <t>Layer Installed Storage</t>
  </si>
  <si>
    <t>Total Layer Storage Volume</t>
  </si>
  <si>
    <t>Total Layer Storage Volume (no perimeter)</t>
  </si>
  <si>
    <t>2 layers</t>
  </si>
  <si>
    <t>layer 2</t>
  </si>
  <si>
    <t>3 layers</t>
  </si>
  <si>
    <t>layer 3</t>
  </si>
  <si>
    <t>chambers internal volume</t>
  </si>
  <si>
    <t>system spatial volume</t>
  </si>
  <si>
    <t>stone spatial volume</t>
  </si>
  <si>
    <t>total layers</t>
  </si>
  <si>
    <t xml:space="preserve">            </t>
  </si>
  <si>
    <t>1 layer</t>
  </si>
  <si>
    <t>End C End R storage volume w/ stone</t>
  </si>
  <si>
    <t>Additional stone Storage</t>
  </si>
  <si>
    <t>1 row 1 chamber system</t>
  </si>
  <si>
    <t>total storage</t>
  </si>
  <si>
    <t>2 rows 2 chambers 1 chamber per row</t>
  </si>
  <si>
    <t>1 row 2 chambers</t>
  </si>
  <si>
    <t>End C End R storage volume w/ stone (2x)</t>
  </si>
  <si>
    <t>2 rows 2 chambers, 1 chamber per row</t>
  </si>
  <si>
    <t>Number of mid Chambers per short row</t>
  </si>
  <si>
    <t>Total number of chambers per short row</t>
  </si>
  <si>
    <t>number of short rows</t>
  </si>
  <si>
    <t>Chosen Number of Rows</t>
  </si>
  <si>
    <t>number of sedimentraps</t>
  </si>
  <si>
    <t>WORKABLE AREA</t>
  </si>
  <si>
    <t>Please note, if your project is East of the Mississippi River you will be using the SC-34 chamber. If your project is West of the Mississippi you will be using the SC-34W chamber. The SC-44 is available in all locations.</t>
  </si>
  <si>
    <t>chamber length</t>
  </si>
  <si>
    <t>full chamber volume</t>
  </si>
  <si>
    <t>full chamber length</t>
  </si>
  <si>
    <t>single chamber length</t>
  </si>
  <si>
    <t>L3</t>
  </si>
  <si>
    <t>stone storage</t>
  </si>
  <si>
    <t>additional stone</t>
  </si>
  <si>
    <t>MREC 1C/R</t>
  </si>
  <si>
    <t>volume of both chambers</t>
  </si>
  <si>
    <t>totals</t>
  </si>
  <si>
    <t>Try adjusting the number of rows until you are satisfied with the layout.</t>
  </si>
  <si>
    <t>Total Chamber in Layer</t>
  </si>
  <si>
    <t>number of full middle rows</t>
  </si>
  <si>
    <t>Minimum Suggested Number of SedimenTraps</t>
  </si>
  <si>
    <t>Desired Number of Layers</t>
  </si>
  <si>
    <t>Scour Protection Mat</t>
  </si>
  <si>
    <r>
      <t xml:space="preserve">Trench depths beyond the range suggested may be achievable.                                                                 For assistance please contact us at </t>
    </r>
    <r>
      <rPr>
        <b/>
        <i/>
        <sz val="12"/>
        <color theme="4" tint="-0.249977111117893"/>
        <rFont val="Calibri"/>
        <family val="2"/>
        <scheme val="minor"/>
      </rPr>
      <t>(877) 426-9128.</t>
    </r>
  </si>
  <si>
    <t>Minimum Internal Storage of a Chamber</t>
  </si>
  <si>
    <t>Choose Design Constraint</t>
  </si>
  <si>
    <t>Stone Void (Industry Standard is 40%)</t>
  </si>
  <si>
    <t>Number of SedimenTraps Desired</t>
  </si>
  <si>
    <t>Minimum Trench Length</t>
  </si>
  <si>
    <t>Minimum Trench Width</t>
  </si>
  <si>
    <t>Minimum Bed Size Required</t>
  </si>
  <si>
    <t>Total Chambers in Layer</t>
  </si>
  <si>
    <r>
      <t xml:space="preserve">Have Questions? Contact us at </t>
    </r>
    <r>
      <rPr>
        <b/>
        <i/>
        <sz val="12"/>
        <color rgb="FF002060"/>
        <rFont val="Calibri"/>
        <family val="2"/>
        <scheme val="minor"/>
      </rPr>
      <t>info@stormchambers.com or (877) 426-9128</t>
    </r>
  </si>
  <si>
    <t>No rows in this layer are shorter or longer than any other rows.</t>
  </si>
  <si>
    <t>Volume of Excavation (not including fill)</t>
  </si>
  <si>
    <t xml:space="preserve"> Minimum Amount of Stone Required</t>
  </si>
  <si>
    <t>Choose Measurement Type</t>
  </si>
  <si>
    <t>Based on the number of SedimenTraps incorporated, reduce the Total Number of Chambers by</t>
  </si>
  <si>
    <t>SC-34E</t>
  </si>
  <si>
    <r>
      <t xml:space="preserve">do constraints apply?               </t>
    </r>
    <r>
      <rPr>
        <sz val="11"/>
        <color theme="0"/>
        <rFont val="Calibri"/>
        <family val="2"/>
        <scheme val="minor"/>
      </rPr>
      <t>(yes=1,no=2)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</si>
  <si>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rows/number of chambers per row dependant on W/L constraints. </t>
    </r>
  </si>
  <si>
    <r>
      <t xml:space="preserve">note: The </t>
    </r>
    <r>
      <rPr>
        <b/>
        <sz val="11"/>
        <color theme="0"/>
        <rFont val="Calibri"/>
        <family val="2"/>
        <scheme val="minor"/>
      </rPr>
      <t>Above</t>
    </r>
    <r>
      <rPr>
        <sz val="11"/>
        <color theme="0"/>
        <rFont val="Calibri"/>
        <family val="2"/>
        <scheme val="minor"/>
      </rPr>
      <t xml:space="preserve"> segment is for determining the number of rows based on the number of chambers per row when the constraint is by length.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</si>
</sst>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F800]dddd\,\ mmmm\ dd\,\ yyyy"/>
    <numFmt numFmtId="165" formatCode=";;;"/>
    <numFmt numFmtId="166" formatCode="_(* #,##0_);_(* \(#,##0\);_(* &quot;-&quot;??_);_(@_)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8"/>
      <name val="Calibri"/>
      <family val="2"/>
    </font>
    <font>
      <b/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8.25"/>
      <color theme="10"/>
      <name val="Calibri"/>
      <family val="2"/>
    </font>
    <font>
      <sz val="8.25"/>
      <color theme="0" tint="-0.34998626667073579"/>
      <name val="Webdings"/>
      <family val="1"/>
      <charset val="2"/>
    </font>
    <font>
      <b/>
      <sz val="14"/>
      <color theme="0" tint="-4.9989318521683403E-2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456"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2" fontId="22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4" borderId="10" xfId="0" applyFill="1" applyBorder="1" applyAlignment="1" applyProtection="1">
      <protection hidden="1"/>
    </xf>
    <xf numFmtId="0" fontId="0" fillId="4" borderId="11" xfId="0" applyFill="1" applyBorder="1" applyAlignment="1" applyProtection="1">
      <protection hidden="1"/>
    </xf>
    <xf numFmtId="0" fontId="0" fillId="4" borderId="12" xfId="0" applyFill="1" applyBorder="1" applyAlignment="1" applyProtection="1">
      <protection hidden="1"/>
    </xf>
    <xf numFmtId="165" fontId="0" fillId="4" borderId="0" xfId="0" applyNumberFormat="1" applyFill="1" applyBorder="1" applyAlignment="1" applyProtection="1">
      <protection hidden="1"/>
    </xf>
    <xf numFmtId="165" fontId="0" fillId="4" borderId="2" xfId="0" applyNumberForma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protection hidden="1"/>
    </xf>
    <xf numFmtId="0" fontId="0" fillId="4" borderId="3" xfId="0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1" fontId="0" fillId="4" borderId="0" xfId="0" applyNumberFormat="1" applyFill="1" applyBorder="1" applyAlignment="1" applyProtection="1">
      <protection hidden="1"/>
    </xf>
    <xf numFmtId="0" fontId="14" fillId="4" borderId="0" xfId="0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protection hidden="1"/>
    </xf>
    <xf numFmtId="1" fontId="15" fillId="4" borderId="0" xfId="0" applyNumberFormat="1" applyFont="1" applyFill="1" applyBorder="1" applyAlignment="1" applyProtection="1">
      <protection hidden="1"/>
    </xf>
    <xf numFmtId="0" fontId="24" fillId="4" borderId="0" xfId="0" applyFont="1" applyFill="1" applyBorder="1" applyAlignment="1" applyProtection="1">
      <protection hidden="1"/>
    </xf>
    <xf numFmtId="0" fontId="24" fillId="4" borderId="0" xfId="0" applyFont="1" applyFill="1" applyBorder="1" applyAlignment="1" applyProtection="1">
      <alignment vertical="top"/>
      <protection hidden="1"/>
    </xf>
    <xf numFmtId="0" fontId="0" fillId="4" borderId="13" xfId="0" applyFill="1" applyBorder="1" applyAlignment="1" applyProtection="1">
      <protection hidden="1"/>
    </xf>
    <xf numFmtId="0" fontId="14" fillId="4" borderId="13" xfId="0" applyFont="1" applyFill="1" applyBorder="1" applyAlignment="1" applyProtection="1">
      <alignment horizontal="right"/>
      <protection hidden="1"/>
    </xf>
    <xf numFmtId="0" fontId="15" fillId="4" borderId="13" xfId="0" applyFont="1" applyFill="1" applyBorder="1" applyAlignment="1" applyProtection="1">
      <protection hidden="1"/>
    </xf>
    <xf numFmtId="0" fontId="27" fillId="4" borderId="3" xfId="0" applyFont="1" applyFill="1" applyBorder="1" applyAlignment="1" applyProtection="1">
      <alignment vertical="top" wrapText="1"/>
      <protection hidden="1"/>
    </xf>
    <xf numFmtId="0" fontId="13" fillId="4" borderId="13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1" fontId="7" fillId="4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protection hidden="1"/>
    </xf>
    <xf numFmtId="0" fontId="15" fillId="4" borderId="0" xfId="0" applyFont="1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protection hidden="1"/>
    </xf>
    <xf numFmtId="0" fontId="0" fillId="4" borderId="1" xfId="0" applyFill="1" applyBorder="1" applyAlignment="1" applyProtection="1">
      <protection hidden="1"/>
    </xf>
    <xf numFmtId="0" fontId="13" fillId="4" borderId="1" xfId="0" applyFont="1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wrapText="1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wrapText="1"/>
      <protection hidden="1"/>
    </xf>
    <xf numFmtId="0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Protection="1">
      <protection hidden="1"/>
    </xf>
    <xf numFmtId="0" fontId="7" fillId="0" borderId="0" xfId="0" applyNumberFormat="1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 vertical="top"/>
      <protection hidden="1"/>
    </xf>
    <xf numFmtId="2" fontId="0" fillId="4" borderId="0" xfId="0" applyNumberFormat="1" applyFill="1" applyBorder="1" applyAlignment="1" applyProtection="1">
      <alignment horizontal="right" vertical="top"/>
      <protection hidden="1"/>
    </xf>
    <xf numFmtId="0" fontId="0" fillId="4" borderId="1" xfId="0" applyFill="1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2" fontId="0" fillId="4" borderId="0" xfId="0" applyNumberFormat="1" applyFill="1" applyBorder="1" applyAlignment="1" applyProtection="1">
      <alignment horizontal="right" vertical="center"/>
      <protection hidden="1"/>
    </xf>
    <xf numFmtId="1" fontId="15" fillId="4" borderId="0" xfId="0" applyNumberFormat="1" applyFont="1" applyFill="1" applyBorder="1" applyAlignment="1" applyProtection="1">
      <alignment vertical="center"/>
      <protection hidden="1"/>
    </xf>
    <xf numFmtId="0" fontId="24" fillId="4" borderId="0" xfId="0" applyFont="1" applyFill="1" applyBorder="1" applyAlignment="1" applyProtection="1">
      <alignment vertical="center"/>
      <protection hidden="1"/>
    </xf>
    <xf numFmtId="2" fontId="15" fillId="4" borderId="0" xfId="0" applyNumberFormat="1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Border="1" applyAlignment="1" applyProtection="1">
      <alignment vertical="top"/>
      <protection hidden="1"/>
    </xf>
    <xf numFmtId="2" fontId="15" fillId="4" borderId="0" xfId="0" applyNumberFormat="1" applyFont="1" applyFill="1" applyBorder="1" applyAlignment="1" applyProtection="1">
      <alignment horizontal="right" vertical="top" wrapText="1"/>
      <protection hidden="1"/>
    </xf>
    <xf numFmtId="0" fontId="7" fillId="4" borderId="0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165" fontId="5" fillId="0" borderId="0" xfId="0" applyNumberFormat="1" applyFont="1" applyBorder="1" applyProtection="1"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NumberFormat="1" applyFont="1" applyProtection="1">
      <protection hidden="1"/>
    </xf>
    <xf numFmtId="0" fontId="37" fillId="0" borderId="0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NumberFormat="1" applyFont="1" applyFill="1" applyBorder="1" applyProtection="1">
      <protection hidden="1"/>
    </xf>
    <xf numFmtId="0" fontId="7" fillId="0" borderId="0" xfId="0" applyNumberFormat="1" applyFont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Protection="1">
      <protection hidden="1"/>
    </xf>
    <xf numFmtId="0" fontId="18" fillId="0" borderId="0" xfId="0" applyNumberFormat="1" applyFont="1" applyProtection="1">
      <protection hidden="1"/>
    </xf>
    <xf numFmtId="0" fontId="7" fillId="0" borderId="0" xfId="0" applyNumberFormat="1" applyFont="1" applyFill="1" applyBorder="1" applyAlignment="1" applyProtection="1">
      <alignment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wrapText="1"/>
      <protection hidden="1"/>
    </xf>
    <xf numFmtId="0" fontId="18" fillId="0" borderId="0" xfId="0" applyNumberFormat="1" applyFont="1" applyFill="1" applyBorder="1" applyAlignment="1" applyProtection="1">
      <alignment wrapText="1"/>
      <protection hidden="1"/>
    </xf>
    <xf numFmtId="0" fontId="20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horizontal="left" wrapText="1"/>
      <protection hidden="1"/>
    </xf>
    <xf numFmtId="0" fontId="12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2" fillId="4" borderId="0" xfId="0" applyFont="1" applyFill="1" applyBorder="1" applyAlignment="1" applyProtection="1">
      <alignment horizontal="left" vertical="top" wrapText="1"/>
      <protection hidden="1"/>
    </xf>
    <xf numFmtId="0" fontId="0" fillId="4" borderId="4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0" xfId="0" applyFill="1" applyBorder="1" applyAlignment="1" applyProtection="1">
      <alignment horizontal="left" vertical="center"/>
      <protection hidden="1"/>
    </xf>
    <xf numFmtId="165" fontId="0" fillId="4" borderId="0" xfId="0" applyNumberFormat="1" applyFill="1" applyBorder="1" applyAlignment="1" applyProtection="1">
      <alignment horizontal="left" vertical="center"/>
      <protection hidden="1"/>
    </xf>
    <xf numFmtId="0" fontId="42" fillId="4" borderId="0" xfId="0" applyFont="1" applyFill="1" applyBorder="1" applyAlignment="1" applyProtection="1">
      <alignment vertical="top" wrapText="1"/>
      <protection hidden="1"/>
    </xf>
    <xf numFmtId="0" fontId="44" fillId="4" borderId="2" xfId="0" applyFont="1" applyFill="1" applyBorder="1" applyAlignment="1" applyProtection="1">
      <protection hidden="1"/>
    </xf>
    <xf numFmtId="0" fontId="30" fillId="4" borderId="3" xfId="0" applyFont="1" applyFill="1" applyBorder="1" applyAlignment="1" applyProtection="1">
      <alignment vertical="center" wrapText="1"/>
      <protection hidden="1"/>
    </xf>
    <xf numFmtId="0" fontId="30" fillId="4" borderId="0" xfId="0" applyFont="1" applyFill="1" applyBorder="1" applyAlignment="1" applyProtection="1">
      <alignment vertical="center" wrapText="1"/>
      <protection hidden="1"/>
    </xf>
    <xf numFmtId="0" fontId="30" fillId="4" borderId="2" xfId="0" applyFont="1" applyFill="1" applyBorder="1" applyAlignment="1" applyProtection="1">
      <alignment vertical="center" wrapText="1"/>
      <protection hidden="1"/>
    </xf>
    <xf numFmtId="0" fontId="13" fillId="4" borderId="3" xfId="0" applyFont="1" applyFill="1" applyBorder="1" applyAlignment="1" applyProtection="1">
      <alignment horizontal="right"/>
      <protection hidden="1"/>
    </xf>
    <xf numFmtId="0" fontId="44" fillId="4" borderId="4" xfId="0" applyFont="1" applyFill="1" applyBorder="1" applyAlignment="1" applyProtection="1">
      <protection hidden="1"/>
    </xf>
    <xf numFmtId="0" fontId="44" fillId="4" borderId="1" xfId="0" applyFont="1" applyFill="1" applyBorder="1" applyAlignment="1" applyProtection="1">
      <protection hidden="1"/>
    </xf>
    <xf numFmtId="0" fontId="44" fillId="4" borderId="5" xfId="0" applyFont="1" applyFill="1" applyBorder="1" applyAlignment="1" applyProtection="1">
      <protection hidden="1"/>
    </xf>
    <xf numFmtId="0" fontId="0" fillId="4" borderId="0" xfId="0" applyFill="1" applyBorder="1" applyAlignment="1" applyProtection="1">
      <alignment horizontal="right" vertical="center"/>
      <protection hidden="1"/>
    </xf>
    <xf numFmtId="0" fontId="0" fillId="4" borderId="3" xfId="0" applyFill="1" applyBorder="1" applyAlignment="1" applyProtection="1">
      <alignment horizontal="right" vertical="center"/>
      <protection hidden="1"/>
    </xf>
    <xf numFmtId="0" fontId="13" fillId="4" borderId="3" xfId="0" applyFont="1" applyFill="1" applyBorder="1" applyAlignment="1" applyProtection="1">
      <alignment horizontal="right" vertical="center"/>
      <protection hidden="1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15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7" xfId="0" applyNumberForma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165" fontId="35" fillId="4" borderId="0" xfId="0" applyNumberFormat="1" applyFont="1" applyFill="1" applyBorder="1" applyAlignment="1" applyProtection="1">
      <alignment horizontal="left"/>
      <protection hidden="1"/>
    </xf>
    <xf numFmtId="165" fontId="35" fillId="4" borderId="0" xfId="0" applyNumberFormat="1" applyFont="1" applyFill="1" applyBorder="1" applyProtection="1">
      <protection hidden="1"/>
    </xf>
    <xf numFmtId="165" fontId="49" fillId="4" borderId="2" xfId="0" applyNumberFormat="1" applyFont="1" applyFill="1" applyBorder="1" applyAlignment="1" applyProtection="1">
      <alignment vertical="center"/>
      <protection hidden="1"/>
    </xf>
    <xf numFmtId="165" fontId="49" fillId="4" borderId="0" xfId="0" applyNumberFormat="1" applyFont="1" applyFill="1" applyBorder="1" applyAlignment="1" applyProtection="1">
      <alignment horizontal="left" vertical="center"/>
      <protection hidden="1"/>
    </xf>
    <xf numFmtId="165" fontId="35" fillId="4" borderId="2" xfId="0" applyNumberFormat="1" applyFont="1" applyFill="1" applyBorder="1" applyProtection="1">
      <protection hidden="1"/>
    </xf>
    <xf numFmtId="165" fontId="35" fillId="4" borderId="0" xfId="0" applyNumberFormat="1" applyFont="1" applyFill="1" applyBorder="1" applyAlignment="1" applyProtection="1">
      <protection hidden="1"/>
    </xf>
    <xf numFmtId="0" fontId="13" fillId="4" borderId="0" xfId="0" applyFont="1" applyFill="1" applyBorder="1" applyAlignment="1" applyProtection="1">
      <alignment horizontal="right"/>
      <protection hidden="1"/>
    </xf>
    <xf numFmtId="1" fontId="0" fillId="4" borderId="0" xfId="0" applyNumberFormat="1" applyFill="1" applyBorder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alignment horizontal="right" vertical="top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2" fontId="15" fillId="4" borderId="0" xfId="0" applyNumberFormat="1" applyFont="1" applyFill="1" applyBorder="1" applyAlignment="1" applyProtection="1">
      <alignment horizontal="center"/>
      <protection hidden="1"/>
    </xf>
    <xf numFmtId="43" fontId="21" fillId="4" borderId="0" xfId="1" applyFont="1" applyFill="1" applyBorder="1" applyAlignment="1" applyProtection="1">
      <alignment vertical="center" wrapText="1"/>
      <protection hidden="1"/>
    </xf>
    <xf numFmtId="2" fontId="0" fillId="4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0" fontId="13" fillId="4" borderId="0" xfId="0" applyFont="1" applyFill="1" applyBorder="1" applyAlignment="1" applyProtection="1">
      <protection hidden="1"/>
    </xf>
    <xf numFmtId="0" fontId="15" fillId="4" borderId="0" xfId="0" applyFont="1" applyFill="1" applyBorder="1" applyAlignment="1" applyProtection="1">
      <alignment horizontal="left"/>
      <protection hidden="1"/>
    </xf>
    <xf numFmtId="0" fontId="15" fillId="4" borderId="0" xfId="0" applyFont="1" applyFill="1" applyBorder="1" applyAlignment="1" applyProtection="1">
      <alignment horizontal="right" vertical="center"/>
      <protection hidden="1"/>
    </xf>
    <xf numFmtId="2" fontId="15" fillId="4" borderId="0" xfId="0" applyNumberFormat="1" applyFont="1" applyFill="1" applyBorder="1" applyAlignment="1" applyProtection="1">
      <alignment horizontal="left"/>
      <protection hidden="1"/>
    </xf>
    <xf numFmtId="1" fontId="15" fillId="4" borderId="0" xfId="0" applyNumberFormat="1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6" fillId="4" borderId="10" xfId="0" applyFont="1" applyFill="1" applyBorder="1" applyAlignment="1" applyProtection="1">
      <alignment vertical="center"/>
      <protection hidden="1"/>
    </xf>
    <xf numFmtId="0" fontId="16" fillId="4" borderId="11" xfId="0" applyFont="1" applyFill="1" applyBorder="1" applyAlignment="1" applyProtection="1">
      <alignment vertical="center"/>
      <protection hidden="1"/>
    </xf>
    <xf numFmtId="0" fontId="16" fillId="4" borderId="12" xfId="0" applyFont="1" applyFill="1" applyBorder="1" applyAlignment="1" applyProtection="1">
      <alignment vertical="center"/>
      <protection hidden="1"/>
    </xf>
    <xf numFmtId="0" fontId="16" fillId="4" borderId="3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vertical="center"/>
      <protection hidden="1"/>
    </xf>
    <xf numFmtId="0" fontId="16" fillId="4" borderId="2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vertical="center" wrapText="1"/>
      <protection hidden="1"/>
    </xf>
    <xf numFmtId="0" fontId="21" fillId="4" borderId="0" xfId="1" applyNumberFormat="1" applyFont="1" applyFill="1" applyBorder="1" applyAlignment="1" applyProtection="1">
      <alignment vertical="center" wrapText="1"/>
      <protection hidden="1"/>
    </xf>
    <xf numFmtId="0" fontId="7" fillId="4" borderId="0" xfId="0" applyNumberFormat="1" applyFont="1" applyFill="1" applyBorder="1" applyProtection="1">
      <protection hidden="1"/>
    </xf>
    <xf numFmtId="0" fontId="7" fillId="4" borderId="3" xfId="0" applyNumberFormat="1" applyFont="1" applyFill="1" applyBorder="1" applyAlignment="1" applyProtection="1">
      <alignment horizontal="right"/>
      <protection hidden="1"/>
    </xf>
    <xf numFmtId="0" fontId="38" fillId="4" borderId="0" xfId="0" applyNumberFormat="1" applyFont="1" applyFill="1" applyBorder="1" applyAlignment="1" applyProtection="1">
      <alignment horizontal="right" vertical="center"/>
      <protection hidden="1"/>
    </xf>
    <xf numFmtId="0" fontId="38" fillId="4" borderId="0" xfId="0" applyNumberFormat="1" applyFont="1" applyFill="1" applyBorder="1" applyAlignment="1" applyProtection="1">
      <alignment vertical="center"/>
      <protection hidden="1"/>
    </xf>
    <xf numFmtId="0" fontId="11" fillId="4" borderId="0" xfId="0" applyNumberFormat="1" applyFont="1" applyFill="1" applyBorder="1" applyAlignment="1" applyProtection="1">
      <alignment vertical="center"/>
      <protection hidden="1"/>
    </xf>
    <xf numFmtId="2" fontId="0" fillId="4" borderId="0" xfId="0" applyNumberFormat="1" applyFill="1" applyBorder="1" applyAlignment="1" applyProtection="1">
      <alignment horizontal="left" vertical="center"/>
      <protection hidden="1"/>
    </xf>
    <xf numFmtId="2" fontId="15" fillId="4" borderId="0" xfId="0" applyNumberFormat="1" applyFont="1" applyFill="1" applyBorder="1" applyAlignment="1" applyProtection="1">
      <alignment horizontal="left" vertical="center"/>
      <protection hidden="1"/>
    </xf>
    <xf numFmtId="2" fontId="15" fillId="4" borderId="0" xfId="0" applyNumberFormat="1" applyFont="1" applyFill="1" applyBorder="1" applyAlignment="1" applyProtection="1">
      <alignment horizontal="left" vertical="top"/>
      <protection hidden="1"/>
    </xf>
    <xf numFmtId="0" fontId="0" fillId="4" borderId="0" xfId="1" applyNumberFormat="1" applyFont="1" applyFill="1" applyBorder="1" applyAlignment="1" applyProtection="1">
      <alignment horizontal="right"/>
      <protection hidden="1"/>
    </xf>
    <xf numFmtId="0" fontId="0" fillId="4" borderId="0" xfId="0" applyNumberFormat="1" applyFill="1" applyBorder="1" applyAlignment="1" applyProtection="1">
      <alignment horizontal="right"/>
      <protection hidden="1"/>
    </xf>
    <xf numFmtId="165" fontId="34" fillId="4" borderId="0" xfId="0" applyNumberFormat="1" applyFont="1" applyFill="1" applyBorder="1" applyAlignment="1" applyProtection="1">
      <alignment vertical="center"/>
      <protection hidden="1"/>
    </xf>
    <xf numFmtId="165" fontId="34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8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right" wrapText="1"/>
      <protection hidden="1"/>
    </xf>
    <xf numFmtId="0" fontId="13" fillId="4" borderId="0" xfId="0" applyFont="1" applyFill="1" applyBorder="1" applyAlignment="1" applyProtection="1">
      <alignment horizontal="right" vertical="center" wrapText="1"/>
      <protection hidden="1"/>
    </xf>
    <xf numFmtId="0" fontId="0" fillId="0" borderId="19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 wrapText="1"/>
      <protection hidden="1"/>
    </xf>
    <xf numFmtId="0" fontId="33" fillId="4" borderId="0" xfId="0" applyFont="1" applyFill="1" applyBorder="1" applyAlignment="1" applyProtection="1">
      <alignment horizontal="center"/>
      <protection hidden="1"/>
    </xf>
    <xf numFmtId="1" fontId="15" fillId="4" borderId="0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right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right" vertical="center"/>
      <protection hidden="1"/>
    </xf>
    <xf numFmtId="0" fontId="30" fillId="4" borderId="0" xfId="0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2" fontId="15" fillId="4" borderId="0" xfId="0" applyNumberFormat="1" applyFont="1" applyFill="1" applyBorder="1" applyAlignment="1" applyProtection="1">
      <alignment horizontal="right"/>
      <protection hidden="1"/>
    </xf>
    <xf numFmtId="0" fontId="13" fillId="4" borderId="3" xfId="0" applyFont="1" applyFill="1" applyBorder="1" applyAlignment="1" applyProtection="1">
      <alignment horizontal="right" wrapText="1"/>
      <protection hidden="1"/>
    </xf>
    <xf numFmtId="0" fontId="13" fillId="4" borderId="0" xfId="0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left"/>
      <protection hidden="1"/>
    </xf>
    <xf numFmtId="0" fontId="24" fillId="4" borderId="0" xfId="0" applyFont="1" applyFill="1" applyBorder="1" applyAlignment="1" applyProtection="1">
      <alignment horizontal="left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43" fontId="0" fillId="4" borderId="0" xfId="1" applyFont="1" applyFill="1" applyBorder="1" applyAlignment="1" applyProtection="1">
      <alignment horizontal="right"/>
      <protection hidden="1"/>
    </xf>
    <xf numFmtId="166" fontId="7" fillId="4" borderId="0" xfId="1" applyNumberFormat="1" applyFont="1" applyFill="1" applyBorder="1" applyAlignment="1" applyProtection="1">
      <alignment horizontal="right"/>
      <protection hidden="1"/>
    </xf>
    <xf numFmtId="2" fontId="15" fillId="4" borderId="0" xfId="0" applyNumberFormat="1" applyFont="1" applyFill="1" applyBorder="1" applyAlignment="1" applyProtection="1">
      <alignment horizontal="right"/>
      <protection hidden="1"/>
    </xf>
    <xf numFmtId="0" fontId="24" fillId="4" borderId="0" xfId="0" applyFont="1" applyFill="1" applyBorder="1" applyAlignment="1" applyProtection="1">
      <alignment horizontal="left" vertical="top"/>
      <protection hidden="1"/>
    </xf>
    <xf numFmtId="1" fontId="7" fillId="4" borderId="0" xfId="0" applyNumberFormat="1" applyFont="1" applyFill="1" applyBorder="1" applyAlignment="1" applyProtection="1">
      <alignment horizontal="right"/>
      <protection hidden="1"/>
    </xf>
    <xf numFmtId="0" fontId="0" fillId="0" borderId="18" xfId="0" applyNumberFormat="1" applyFill="1" applyBorder="1" applyAlignment="1" applyProtection="1">
      <alignment horizontal="left"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30" fillId="4" borderId="0" xfId="0" applyFont="1" applyFill="1" applyBorder="1" applyAlignment="1" applyProtection="1">
      <alignment horizontal="center"/>
      <protection hidden="1"/>
    </xf>
    <xf numFmtId="0" fontId="41" fillId="4" borderId="4" xfId="0" applyFont="1" applyFill="1" applyBorder="1" applyAlignment="1" applyProtection="1">
      <alignment horizontal="center"/>
      <protection hidden="1"/>
    </xf>
    <xf numFmtId="0" fontId="41" fillId="4" borderId="1" xfId="0" applyFont="1" applyFill="1" applyBorder="1" applyAlignment="1" applyProtection="1">
      <alignment horizontal="center"/>
      <protection hidden="1"/>
    </xf>
    <xf numFmtId="0" fontId="41" fillId="4" borderId="5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64" fontId="1" fillId="0" borderId="9" xfId="0" applyNumberFormat="1" applyFont="1" applyBorder="1" applyAlignment="1" applyProtection="1">
      <alignment horizontal="left"/>
      <protection locked="0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48" fillId="4" borderId="3" xfId="2" applyNumberFormat="1" applyFont="1" applyFill="1" applyBorder="1" applyAlignment="1" applyProtection="1">
      <alignment horizontal="center"/>
      <protection hidden="1"/>
    </xf>
    <xf numFmtId="0" fontId="48" fillId="4" borderId="0" xfId="2" applyNumberFormat="1" applyFont="1" applyFill="1" applyBorder="1" applyAlignment="1" applyProtection="1">
      <alignment horizontal="center"/>
      <protection hidden="1"/>
    </xf>
    <xf numFmtId="0" fontId="26" fillId="4" borderId="3" xfId="0" applyFont="1" applyFill="1" applyBorder="1" applyAlignment="1" applyProtection="1">
      <alignment horizontal="center" vertical="center" wrapText="1"/>
      <protection hidden="1"/>
    </xf>
    <xf numFmtId="0" fontId="26" fillId="4" borderId="0" xfId="0" applyFont="1" applyFill="1" applyBorder="1" applyAlignment="1" applyProtection="1">
      <alignment horizontal="center" vertical="center" wrapText="1"/>
      <protection hidden="1"/>
    </xf>
    <xf numFmtId="0" fontId="26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right" vertical="center" wrapText="1"/>
      <protection hidden="1"/>
    </xf>
    <xf numFmtId="0" fontId="0" fillId="4" borderId="0" xfId="0" applyFont="1" applyFill="1" applyBorder="1" applyAlignment="1" applyProtection="1">
      <alignment horizontal="right" vertical="center" wrapText="1"/>
      <protection hidden="1"/>
    </xf>
    <xf numFmtId="0" fontId="21" fillId="4" borderId="0" xfId="1" applyNumberFormat="1" applyFont="1" applyFill="1" applyBorder="1" applyAlignment="1" applyProtection="1">
      <alignment horizontal="right" vertical="center" wrapText="1"/>
      <protection hidden="1"/>
    </xf>
    <xf numFmtId="1" fontId="0" fillId="4" borderId="0" xfId="1" applyNumberFormat="1" applyFont="1" applyFill="1" applyBorder="1" applyAlignment="1" applyProtection="1">
      <alignment horizontal="right"/>
      <protection hidden="1"/>
    </xf>
    <xf numFmtId="0" fontId="0" fillId="4" borderId="0" xfId="1" applyNumberFormat="1" applyFont="1" applyFill="1" applyBorder="1" applyAlignment="1" applyProtection="1">
      <alignment horizontal="right" vertical="top"/>
      <protection hidden="1"/>
    </xf>
    <xf numFmtId="0" fontId="33" fillId="4" borderId="0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3" fillId="4" borderId="0" xfId="0" applyFont="1" applyFill="1" applyBorder="1" applyAlignment="1" applyProtection="1">
      <alignment horizontal="right" vertical="center"/>
      <protection hidden="1"/>
    </xf>
    <xf numFmtId="0" fontId="28" fillId="4" borderId="3" xfId="0" applyFont="1" applyFill="1" applyBorder="1" applyAlignment="1" applyProtection="1">
      <alignment horizontal="right" vertical="center"/>
      <protection hidden="1"/>
    </xf>
    <xf numFmtId="0" fontId="28" fillId="4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13" fillId="4" borderId="0" xfId="0" applyNumberFormat="1" applyFont="1" applyFill="1" applyBorder="1" applyAlignment="1" applyProtection="1">
      <alignment horizontal="right" wrapText="1"/>
      <protection hidden="1"/>
    </xf>
    <xf numFmtId="0" fontId="50" fillId="4" borderId="0" xfId="0" applyFont="1" applyFill="1" applyBorder="1" applyAlignment="1" applyProtection="1">
      <alignment horizontal="left"/>
      <protection hidden="1"/>
    </xf>
    <xf numFmtId="1" fontId="15" fillId="4" borderId="0" xfId="0" applyNumberFormat="1" applyFont="1" applyFill="1" applyBorder="1" applyAlignment="1" applyProtection="1">
      <alignment horizontal="right"/>
      <protection hidden="1"/>
    </xf>
    <xf numFmtId="1" fontId="15" fillId="4" borderId="0" xfId="0" applyNumberFormat="1" applyFont="1" applyFill="1" applyBorder="1" applyAlignment="1" applyProtection="1">
      <alignment horizontal="right" vertical="top"/>
      <protection hidden="1"/>
    </xf>
    <xf numFmtId="0" fontId="40" fillId="4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right"/>
      <protection hidden="1"/>
    </xf>
    <xf numFmtId="0" fontId="45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24" xfId="0" applyNumberFormat="1" applyFill="1" applyBorder="1" applyAlignment="1" applyProtection="1">
      <alignment horizontal="left"/>
      <protection locked="0"/>
    </xf>
    <xf numFmtId="0" fontId="0" fillId="0" borderId="25" xfId="0" applyNumberFormat="1" applyFill="1" applyBorder="1" applyAlignment="1" applyProtection="1">
      <alignment horizontal="left"/>
      <protection locked="0"/>
    </xf>
    <xf numFmtId="0" fontId="0" fillId="0" borderId="26" xfId="0" applyNumberFormat="1" applyFill="1" applyBorder="1" applyAlignment="1" applyProtection="1">
      <alignment horizontal="left"/>
      <protection locked="0"/>
    </xf>
    <xf numFmtId="0" fontId="0" fillId="0" borderId="27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165" fontId="52" fillId="4" borderId="0" xfId="0" applyNumberFormat="1" applyFont="1" applyFill="1" applyBorder="1" applyAlignment="1" applyProtection="1">
      <alignment horizontal="left"/>
      <protection hidden="1"/>
    </xf>
    <xf numFmtId="165" fontId="34" fillId="4" borderId="3" xfId="0" applyNumberFormat="1" applyFont="1" applyFill="1" applyBorder="1" applyAlignment="1" applyProtection="1">
      <alignment horizontal="right" vertical="center" wrapText="1"/>
      <protection hidden="1"/>
    </xf>
    <xf numFmtId="165" fontId="34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48" fillId="4" borderId="3" xfId="2" applyFont="1" applyFill="1" applyBorder="1" applyAlignment="1" applyProtection="1">
      <alignment horizontal="center"/>
      <protection hidden="1"/>
    </xf>
    <xf numFmtId="0" fontId="48" fillId="4" borderId="0" xfId="2" applyFont="1" applyFill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right" vertical="center" wrapText="1"/>
      <protection hidden="1"/>
    </xf>
    <xf numFmtId="2" fontId="51" fillId="4" borderId="0" xfId="0" applyNumberFormat="1" applyFont="1" applyFill="1" applyBorder="1" applyAlignment="1" applyProtection="1">
      <alignment horizontal="left" vertical="center"/>
      <protection hidden="1"/>
    </xf>
    <xf numFmtId="2" fontId="51" fillId="4" borderId="2" xfId="0" applyNumberFormat="1" applyFont="1" applyFill="1" applyBorder="1" applyAlignment="1" applyProtection="1">
      <alignment horizontal="left" vertical="center"/>
      <protection hidden="1"/>
    </xf>
    <xf numFmtId="0" fontId="36" fillId="0" borderId="1" xfId="0" applyFont="1" applyFill="1" applyBorder="1" applyAlignment="1" applyProtection="1">
      <alignment horizontal="left" vertical="center"/>
      <protection hidden="1"/>
    </xf>
    <xf numFmtId="0" fontId="0" fillId="0" borderId="21" xfId="0" applyNumberFormat="1" applyFill="1" applyBorder="1" applyAlignment="1" applyProtection="1">
      <alignment horizontal="left"/>
      <protection locked="0"/>
    </xf>
    <xf numFmtId="0" fontId="26" fillId="4" borderId="3" xfId="0" applyFont="1" applyFill="1" applyBorder="1" applyAlignment="1" applyProtection="1">
      <alignment horizontal="center" vertical="top" wrapText="1"/>
      <protection hidden="1"/>
    </xf>
    <xf numFmtId="0" fontId="26" fillId="4" borderId="0" xfId="0" applyFont="1" applyFill="1" applyBorder="1" applyAlignment="1" applyProtection="1">
      <alignment horizontal="center" vertical="top" wrapText="1"/>
      <protection hidden="1"/>
    </xf>
    <xf numFmtId="165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 hidden="1"/>
    </xf>
    <xf numFmtId="0" fontId="7" fillId="0" borderId="7" xfId="0" applyNumberFormat="1" applyFont="1" applyFill="1" applyBorder="1" applyAlignment="1" applyProtection="1">
      <alignment horizontal="left" vertical="center"/>
      <protection locked="0" hidden="1"/>
    </xf>
    <xf numFmtId="0" fontId="0" fillId="0" borderId="6" xfId="0" applyNumberFormat="1" applyFill="1" applyBorder="1" applyAlignment="1" applyProtection="1">
      <alignment horizontal="left" vertical="center"/>
      <protection locked="0" hidden="1"/>
    </xf>
    <xf numFmtId="0" fontId="0" fillId="0" borderId="7" xfId="0" applyNumberFormat="1" applyFill="1" applyBorder="1" applyAlignment="1" applyProtection="1">
      <alignment horizontal="left" vertical="center"/>
      <protection locked="0" hidden="1"/>
    </xf>
    <xf numFmtId="0" fontId="0" fillId="0" borderId="6" xfId="0" applyNumberFormat="1" applyFill="1" applyBorder="1" applyAlignment="1" applyProtection="1">
      <alignment horizontal="left"/>
      <protection locked="0" hidden="1"/>
    </xf>
    <xf numFmtId="0" fontId="0" fillId="0" borderId="7" xfId="0" applyNumberFormat="1" applyFill="1" applyBorder="1" applyAlignment="1" applyProtection="1">
      <alignment horizontal="left"/>
      <protection locked="0" hidden="1"/>
    </xf>
    <xf numFmtId="0" fontId="21" fillId="0" borderId="6" xfId="0" applyNumberFormat="1" applyFont="1" applyFill="1" applyBorder="1" applyAlignment="1" applyProtection="1">
      <alignment horizontal="left" vertical="center"/>
      <protection locked="0" hidden="1"/>
    </xf>
    <xf numFmtId="165" fontId="5" fillId="0" borderId="0" xfId="0" applyNumberFormat="1" applyFont="1" applyFill="1" applyBorder="1" applyProtection="1">
      <protection hidden="1"/>
    </xf>
    <xf numFmtId="165" fontId="54" fillId="0" borderId="0" xfId="0" applyNumberFormat="1" applyFont="1" applyFill="1" applyBorder="1" applyAlignment="1" applyProtection="1">
      <alignment horizontal="left" vertical="top" wrapText="1"/>
      <protection hidden="1"/>
    </xf>
    <xf numFmtId="165" fontId="55" fillId="0" borderId="0" xfId="0" applyNumberFormat="1" applyFont="1" applyFill="1" applyBorder="1" applyAlignment="1" applyProtection="1">
      <alignment horizontal="center"/>
      <protection hidden="1"/>
    </xf>
    <xf numFmtId="165" fontId="5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protection hidden="1"/>
    </xf>
    <xf numFmtId="165" fontId="5" fillId="0" borderId="0" xfId="0" applyNumberFormat="1" applyFont="1" applyProtection="1">
      <protection hidden="1"/>
    </xf>
    <xf numFmtId="165" fontId="5" fillId="0" borderId="0" xfId="0" applyNumberFormat="1" applyFont="1" applyFill="1" applyProtection="1">
      <protection hidden="1"/>
    </xf>
    <xf numFmtId="165" fontId="54" fillId="0" borderId="0" xfId="0" applyNumberFormat="1" applyFont="1" applyFill="1" applyBorder="1" applyAlignment="1" applyProtection="1">
      <alignment vertical="top" wrapText="1"/>
      <protection hidden="1"/>
    </xf>
    <xf numFmtId="165" fontId="56" fillId="0" borderId="0" xfId="0" applyNumberFormat="1" applyFont="1" applyFill="1" applyBorder="1" applyAlignment="1" applyProtection="1">
      <alignment vertical="top" wrapText="1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wrapText="1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65" fontId="57" fillId="0" borderId="0" xfId="0" applyNumberFormat="1" applyFont="1" applyFill="1" applyBorder="1" applyAlignment="1" applyProtection="1">
      <alignment vertical="center" wrapText="1"/>
      <protection hidden="1"/>
    </xf>
    <xf numFmtId="165" fontId="57" fillId="0" borderId="0" xfId="0" applyNumberFormat="1" applyFont="1" applyFill="1" applyBorder="1" applyAlignment="1" applyProtection="1">
      <alignment horizontal="center"/>
      <protection hidden="1"/>
    </xf>
    <xf numFmtId="165" fontId="58" fillId="0" borderId="0" xfId="0" applyNumberFormat="1" applyFont="1" applyFill="1" applyBorder="1" applyAlignment="1" applyProtection="1">
      <protection hidden="1"/>
    </xf>
    <xf numFmtId="165" fontId="53" fillId="0" borderId="0" xfId="0" applyNumberFormat="1" applyFont="1" applyFill="1" applyBorder="1" applyAlignment="1" applyProtection="1">
      <alignment horizontal="center"/>
      <protection hidden="1"/>
    </xf>
    <xf numFmtId="165" fontId="53" fillId="0" borderId="0" xfId="0" applyNumberFormat="1" applyFont="1" applyFill="1" applyBorder="1" applyAlignment="1" applyProtection="1">
      <alignment horizontal="center" wrapText="1"/>
      <protection hidden="1"/>
    </xf>
    <xf numFmtId="165" fontId="59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9" fillId="0" borderId="0" xfId="0" applyNumberFormat="1" applyFont="1" applyFill="1" applyBorder="1" applyAlignment="1" applyProtection="1">
      <alignment horizontal="center" wrapText="1"/>
      <protection hidden="1"/>
    </xf>
    <xf numFmtId="165" fontId="57" fillId="0" borderId="0" xfId="0" applyNumberFormat="1" applyFont="1" applyFill="1" applyBorder="1" applyAlignment="1" applyProtection="1">
      <protection hidden="1"/>
    </xf>
    <xf numFmtId="165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165" fontId="57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60" fillId="0" borderId="0" xfId="0" applyNumberFormat="1" applyFont="1" applyFill="1" applyBorder="1" applyAlignment="1" applyProtection="1">
      <alignment vertical="center" wrapText="1"/>
      <protection hidden="1"/>
    </xf>
    <xf numFmtId="165" fontId="61" fillId="0" borderId="0" xfId="0" applyNumberFormat="1" applyFont="1" applyFill="1" applyBorder="1" applyAlignment="1" applyProtection="1">
      <alignment horizontal="center"/>
      <protection hidden="1"/>
    </xf>
    <xf numFmtId="165" fontId="62" fillId="0" borderId="0" xfId="0" applyNumberFormat="1" applyFont="1" applyFill="1" applyBorder="1" applyAlignment="1" applyProtection="1">
      <alignment horizontal="center" vertical="center"/>
      <protection hidden="1"/>
    </xf>
    <xf numFmtId="165" fontId="61" fillId="0" borderId="0" xfId="0" applyNumberFormat="1" applyFont="1" applyFill="1" applyBorder="1" applyAlignment="1" applyProtection="1">
      <alignment horizontal="center" vertical="center"/>
      <protection hidden="1"/>
    </xf>
    <xf numFmtId="165" fontId="6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4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61" fillId="0" borderId="0" xfId="0" applyNumberFormat="1" applyFont="1" applyFill="1" applyBorder="1" applyAlignment="1" applyProtection="1">
      <alignment horizontal="left"/>
      <protection hidden="1"/>
    </xf>
    <xf numFmtId="165" fontId="57" fillId="0" borderId="0" xfId="0" applyNumberFormat="1" applyFont="1" applyFill="1" applyBorder="1" applyAlignment="1" applyProtection="1">
      <alignment horizontal="center"/>
      <protection hidden="1"/>
    </xf>
    <xf numFmtId="165" fontId="61" fillId="0" borderId="0" xfId="0" applyNumberFormat="1" applyFont="1" applyFill="1" applyBorder="1" applyAlignment="1" applyProtection="1">
      <alignment horizontal="left" vertical="center"/>
      <protection hidden="1"/>
    </xf>
    <xf numFmtId="165" fontId="57" fillId="0" borderId="0" xfId="0" applyNumberFormat="1" applyFont="1" applyFill="1" applyBorder="1" applyAlignment="1" applyProtection="1">
      <alignment horizontal="center" vertical="center"/>
      <protection hidden="1"/>
    </xf>
    <xf numFmtId="165" fontId="65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wrapText="1"/>
      <protection hidden="1"/>
    </xf>
    <xf numFmtId="165" fontId="61" fillId="0" borderId="0" xfId="0" applyNumberFormat="1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horizontal="center"/>
      <protection hidden="1"/>
    </xf>
    <xf numFmtId="165" fontId="61" fillId="0" borderId="0" xfId="0" applyNumberFormat="1" applyFont="1" applyFill="1" applyBorder="1" applyAlignment="1" applyProtection="1">
      <alignment horizontal="left" vertical="center"/>
      <protection hidden="1"/>
    </xf>
    <xf numFmtId="165" fontId="62" fillId="0" borderId="0" xfId="0" applyNumberFormat="1" applyFont="1" applyFill="1" applyBorder="1" applyAlignment="1" applyProtection="1">
      <alignment horizontal="center" vertical="center"/>
      <protection hidden="1"/>
    </xf>
    <xf numFmtId="165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65" fontId="66" fillId="0" borderId="0" xfId="0" applyNumberFormat="1" applyFont="1" applyFill="1" applyBorder="1" applyAlignment="1" applyProtection="1">
      <alignment wrapText="1"/>
      <protection hidden="1"/>
    </xf>
    <xf numFmtId="165" fontId="66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1" fillId="0" borderId="0" xfId="0" applyNumberFormat="1" applyFont="1" applyFill="1" applyBorder="1" applyAlignment="1" applyProtection="1">
      <alignment horizontal="center" vertical="center"/>
      <protection hidden="1"/>
    </xf>
    <xf numFmtId="165" fontId="67" fillId="0" borderId="0" xfId="0" applyNumberFormat="1" applyFont="1" applyFill="1" applyBorder="1" applyAlignment="1" applyProtection="1">
      <alignment wrapText="1"/>
      <protection hidden="1"/>
    </xf>
    <xf numFmtId="165" fontId="6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5" fillId="0" borderId="0" xfId="0" applyNumberFormat="1" applyFont="1" applyFill="1" applyBorder="1" applyProtection="1"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165" fontId="63" fillId="0" borderId="0" xfId="0" applyNumberFormat="1" applyFont="1" applyFill="1" applyBorder="1" applyProtection="1">
      <protection hidden="1"/>
    </xf>
    <xf numFmtId="165" fontId="55" fillId="0" borderId="0" xfId="0" applyNumberFormat="1" applyFont="1" applyFill="1" applyBorder="1" applyAlignment="1" applyProtection="1">
      <alignment horizontal="center"/>
      <protection hidden="1"/>
    </xf>
    <xf numFmtId="165" fontId="67" fillId="0" borderId="0" xfId="0" applyNumberFormat="1" applyFont="1" applyFill="1" applyBorder="1" applyAlignment="1" applyProtection="1">
      <protection hidden="1"/>
    </xf>
    <xf numFmtId="165" fontId="67" fillId="0" borderId="0" xfId="0" applyNumberFormat="1" applyFont="1" applyFill="1" applyBorder="1" applyAlignment="1" applyProtection="1">
      <alignment vertical="center" wrapText="1"/>
      <protection hidden="1"/>
    </xf>
    <xf numFmtId="165" fontId="61" fillId="0" borderId="0" xfId="0" applyNumberFormat="1" applyFont="1" applyFill="1" applyBorder="1" applyProtection="1">
      <protection hidden="1"/>
    </xf>
    <xf numFmtId="165" fontId="63" fillId="0" borderId="0" xfId="0" applyNumberFormat="1" applyFont="1" applyFill="1" applyBorder="1" applyAlignment="1" applyProtection="1">
      <alignment horizontal="left"/>
      <protection hidden="1"/>
    </xf>
    <xf numFmtId="165" fontId="63" fillId="0" borderId="0" xfId="0" applyNumberFormat="1" applyFont="1" applyFill="1" applyBorder="1" applyAlignment="1" applyProtection="1">
      <alignment vertical="center" wrapText="1"/>
      <protection hidden="1"/>
    </xf>
    <xf numFmtId="165" fontId="62" fillId="0" borderId="0" xfId="0" applyNumberFormat="1" applyFont="1" applyFill="1" applyBorder="1" applyAlignment="1" applyProtection="1">
      <alignment horizontal="center" wrapText="1"/>
      <protection hidden="1"/>
    </xf>
    <xf numFmtId="165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67" fillId="0" borderId="0" xfId="0" applyNumberFormat="1" applyFont="1" applyFill="1" applyBorder="1" applyAlignment="1" applyProtection="1">
      <alignment horizontal="center"/>
      <protection hidden="1"/>
    </xf>
    <xf numFmtId="165" fontId="6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vertical="center" wrapText="1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165" fontId="61" fillId="0" borderId="0" xfId="0" applyNumberFormat="1" applyFont="1" applyFill="1" applyBorder="1" applyAlignment="1" applyProtection="1">
      <alignment horizontal="right" vertical="center"/>
      <protection hidden="1"/>
    </xf>
    <xf numFmtId="165" fontId="65" fillId="0" borderId="0" xfId="0" applyNumberFormat="1" applyFont="1" applyFill="1" applyBorder="1" applyAlignment="1" applyProtection="1">
      <alignment vertical="center"/>
      <protection hidden="1"/>
    </xf>
    <xf numFmtId="165" fontId="57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Alignment="1" applyProtection="1">
      <alignment vertical="center" wrapText="1"/>
      <protection hidden="1"/>
    </xf>
    <xf numFmtId="165" fontId="61" fillId="0" borderId="0" xfId="0" applyNumberFormat="1" applyFont="1" applyFill="1" applyBorder="1" applyAlignment="1" applyProtection="1">
      <alignment vertical="center" wrapText="1"/>
      <protection hidden="1"/>
    </xf>
    <xf numFmtId="165" fontId="5" fillId="0" borderId="0" xfId="1" applyNumberFormat="1" applyFont="1" applyFill="1" applyBorder="1" applyAlignment="1" applyProtection="1">
      <alignment wrapText="1"/>
      <protection hidden="1"/>
    </xf>
    <xf numFmtId="165" fontId="57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7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left" vertical="center"/>
      <protection hidden="1"/>
    </xf>
    <xf numFmtId="165" fontId="53" fillId="0" borderId="0" xfId="0" applyNumberFormat="1" applyFont="1" applyFill="1" applyBorder="1" applyAlignment="1" applyProtection="1">
      <alignment horizontal="center" vertical="center"/>
      <protection hidden="1"/>
    </xf>
    <xf numFmtId="165" fontId="62" fillId="0" borderId="0" xfId="0" applyNumberFormat="1" applyFont="1" applyFill="1" applyBorder="1" applyAlignment="1" applyProtection="1">
      <alignment vertical="center" wrapText="1"/>
      <protection hidden="1"/>
    </xf>
    <xf numFmtId="165" fontId="53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62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Protection="1">
      <protection hidden="1"/>
    </xf>
    <xf numFmtId="165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59" fillId="0" borderId="0" xfId="0" applyNumberFormat="1" applyFont="1" applyFill="1" applyBorder="1" applyAlignment="1" applyProtection="1">
      <alignment horizontal="left"/>
      <protection hidden="1"/>
    </xf>
    <xf numFmtId="165" fontId="58" fillId="0" borderId="0" xfId="0" applyNumberFormat="1" applyFont="1" applyFill="1" applyBorder="1" applyAlignment="1" applyProtection="1">
      <alignment horizontal="left" vertical="center"/>
      <protection hidden="1"/>
    </xf>
    <xf numFmtId="165" fontId="58" fillId="0" borderId="0" xfId="0" applyNumberFormat="1" applyFont="1" applyFill="1" applyBorder="1" applyAlignment="1" applyProtection="1">
      <alignment horizontal="left" vertical="center"/>
      <protection hidden="1"/>
    </xf>
    <xf numFmtId="165" fontId="59" fillId="0" borderId="0" xfId="0" applyNumberFormat="1" applyFont="1" applyFill="1" applyBorder="1" applyAlignment="1" applyProtection="1">
      <alignment horizontal="left" wrapText="1"/>
      <protection hidden="1"/>
    </xf>
    <xf numFmtId="165" fontId="53" fillId="0" borderId="0" xfId="0" applyNumberFormat="1" applyFont="1" applyFill="1" applyBorder="1" applyAlignment="1" applyProtection="1">
      <alignment horizontal="center" wrapText="1"/>
      <protection hidden="1"/>
    </xf>
    <xf numFmtId="165" fontId="58" fillId="0" borderId="0" xfId="0" applyNumberFormat="1" applyFont="1" applyFill="1" applyBorder="1" applyAlignment="1" applyProtection="1">
      <alignment horizontal="left"/>
      <protection hidden="1"/>
    </xf>
    <xf numFmtId="165" fontId="59" fillId="0" borderId="0" xfId="0" applyNumberFormat="1" applyFont="1" applyFill="1" applyBorder="1" applyAlignment="1" applyProtection="1">
      <alignment horizontal="left" vertical="center" textRotation="90" wrapText="1"/>
      <protection hidden="1"/>
    </xf>
    <xf numFmtId="165" fontId="58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53" fillId="0" borderId="0" xfId="0" applyNumberFormat="1" applyFont="1" applyFill="1" applyBorder="1" applyAlignment="1" applyProtection="1">
      <alignment horizontal="center"/>
      <protection hidden="1"/>
    </xf>
    <xf numFmtId="165" fontId="65" fillId="0" borderId="0" xfId="0" applyNumberFormat="1" applyFont="1" applyFill="1" applyBorder="1" applyAlignment="1" applyProtection="1">
      <alignment horizontal="center"/>
      <protection hidden="1"/>
    </xf>
    <xf numFmtId="165" fontId="53" fillId="0" borderId="0" xfId="0" applyNumberFormat="1" applyFont="1" applyFill="1" applyBorder="1" applyAlignment="1" applyProtection="1">
      <alignment vertical="center"/>
      <protection hidden="1"/>
    </xf>
    <xf numFmtId="165" fontId="58" fillId="0" borderId="0" xfId="0" applyNumberFormat="1" applyFont="1" applyFill="1" applyBorder="1" applyAlignment="1" applyProtection="1">
      <alignment horizontal="left" wrapText="1"/>
      <protection hidden="1"/>
    </xf>
    <xf numFmtId="165" fontId="55" fillId="0" borderId="0" xfId="0" applyNumberFormat="1" applyFont="1" applyFill="1" applyBorder="1" applyAlignment="1" applyProtection="1">
      <alignment horizontal="center" vertical="center"/>
      <protection hidden="1"/>
    </xf>
    <xf numFmtId="165" fontId="58" fillId="0" borderId="0" xfId="0" applyNumberFormat="1" applyFont="1" applyFill="1" applyBorder="1" applyAlignment="1" applyProtection="1">
      <alignment horizontal="left" wrapText="1"/>
      <protection hidden="1"/>
    </xf>
    <xf numFmtId="165" fontId="55" fillId="0" borderId="0" xfId="0" applyNumberFormat="1" applyFont="1" applyFill="1" applyBorder="1" applyAlignment="1" applyProtection="1">
      <alignment vertical="center"/>
      <protection hidden="1"/>
    </xf>
    <xf numFmtId="165" fontId="55" fillId="0" borderId="0" xfId="0" applyNumberFormat="1" applyFont="1" applyFill="1" applyBorder="1" applyAlignment="1" applyProtection="1">
      <alignment horizontal="center" vertical="center" textRotation="90"/>
      <protection hidden="1"/>
    </xf>
    <xf numFmtId="165" fontId="58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8" fillId="0" borderId="0" xfId="0" applyNumberFormat="1" applyFont="1" applyFill="1" applyBorder="1" applyAlignment="1" applyProtection="1">
      <alignment vertical="center" wrapText="1"/>
      <protection hidden="1"/>
    </xf>
    <xf numFmtId="165" fontId="64" fillId="0" borderId="0" xfId="0" applyNumberFormat="1" applyFont="1" applyFill="1" applyBorder="1" applyAlignment="1" applyProtection="1">
      <alignment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5" fillId="0" borderId="0" xfId="0" applyNumberFormat="1" applyFont="1" applyFill="1" applyBorder="1" applyAlignment="1" applyProtection="1">
      <alignment horizontal="left"/>
      <protection hidden="1"/>
    </xf>
    <xf numFmtId="165" fontId="55" fillId="0" borderId="0" xfId="0" applyNumberFormat="1" applyFont="1" applyFill="1" applyBorder="1" applyAlignment="1" applyProtection="1">
      <protection hidden="1"/>
    </xf>
    <xf numFmtId="165" fontId="62" fillId="0" borderId="0" xfId="0" applyNumberFormat="1" applyFont="1" applyFill="1" applyBorder="1" applyAlignment="1" applyProtection="1">
      <alignment wrapText="1"/>
      <protection hidden="1"/>
    </xf>
    <xf numFmtId="165" fontId="63" fillId="0" borderId="0" xfId="0" applyNumberFormat="1" applyFont="1" applyFill="1" applyBorder="1" applyAlignment="1" applyProtection="1">
      <alignment horizontal="center" vertical="center"/>
      <protection hidden="1"/>
    </xf>
    <xf numFmtId="165" fontId="59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63" fillId="0" borderId="0" xfId="0" applyNumberFormat="1" applyFont="1" applyFill="1" applyBorder="1" applyAlignment="1" applyProtection="1">
      <alignment vertical="center"/>
      <protection hidden="1"/>
    </xf>
    <xf numFmtId="165" fontId="61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2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165" fontId="55" fillId="0" borderId="0" xfId="0" applyNumberFormat="1" applyFont="1" applyFill="1" applyBorder="1" applyAlignment="1" applyProtection="1">
      <alignment vertical="center" textRotation="90"/>
      <protection hidden="1"/>
    </xf>
    <xf numFmtId="165" fontId="68" fillId="0" borderId="0" xfId="0" applyNumberFormat="1" applyFont="1" applyFill="1" applyBorder="1" applyAlignment="1" applyProtection="1">
      <alignment vertical="center" wrapText="1"/>
      <protection hidden="1"/>
    </xf>
    <xf numFmtId="165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7" fillId="0" borderId="0" xfId="1" applyNumberFormat="1" applyFont="1" applyFill="1" applyBorder="1" applyAlignment="1" applyProtection="1">
      <alignment vertical="center" wrapText="1"/>
      <protection hidden="1"/>
    </xf>
    <xf numFmtId="165" fontId="6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55" fillId="0" borderId="0" xfId="0" applyNumberFormat="1" applyFont="1" applyFill="1" applyBorder="1" applyAlignment="1" applyProtection="1">
      <alignment vertical="center" wrapText="1"/>
      <protection hidden="1"/>
    </xf>
    <xf numFmtId="165" fontId="65" fillId="0" borderId="0" xfId="0" applyNumberFormat="1" applyFont="1" applyFill="1" applyBorder="1" applyAlignment="1" applyProtection="1">
      <alignment vertical="center" wrapText="1"/>
      <protection hidden="1"/>
    </xf>
    <xf numFmtId="165" fontId="5" fillId="0" borderId="0" xfId="0" applyNumberFormat="1" applyFont="1" applyFill="1" applyBorder="1" applyAlignment="1" applyProtection="1">
      <alignment horizontal="left" wrapText="1"/>
      <protection hidden="1"/>
    </xf>
    <xf numFmtId="165" fontId="58" fillId="0" borderId="0" xfId="0" applyNumberFormat="1" applyFont="1" applyFill="1" applyBorder="1" applyAlignment="1" applyProtection="1">
      <alignment vertical="center"/>
      <protection hidden="1"/>
    </xf>
    <xf numFmtId="165" fontId="53" fillId="0" borderId="0" xfId="0" applyNumberFormat="1" applyFont="1" applyFill="1" applyBorder="1" applyAlignment="1" applyProtection="1">
      <alignment horizontal="right"/>
      <protection hidden="1"/>
    </xf>
    <xf numFmtId="165" fontId="6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Alignment="1" applyProtection="1">
      <alignment horizontal="center" vertical="center"/>
      <protection hidden="1"/>
    </xf>
    <xf numFmtId="165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53" fillId="0" borderId="0" xfId="0" applyNumberFormat="1" applyFont="1" applyFill="1" applyBorder="1" applyProtection="1">
      <protection hidden="1"/>
    </xf>
    <xf numFmtId="165" fontId="55" fillId="0" borderId="0" xfId="0" applyNumberFormat="1" applyFont="1" applyFill="1" applyBorder="1" applyAlignment="1" applyProtection="1">
      <alignment wrapText="1"/>
      <protection hidden="1"/>
    </xf>
    <xf numFmtId="165" fontId="5" fillId="0" borderId="0" xfId="0" applyNumberFormat="1" applyFont="1" applyFill="1" applyBorder="1" applyAlignment="1" applyProtection="1">
      <alignment horizontal="center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left" wrapText="1"/>
      <protection hidden="1"/>
    </xf>
    <xf numFmtId="165" fontId="60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1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horizontal="right" wrapText="1"/>
      <protection hidden="1"/>
    </xf>
    <xf numFmtId="165" fontId="65" fillId="0" borderId="0" xfId="1" applyNumberFormat="1" applyFont="1" applyFill="1" applyBorder="1" applyAlignment="1" applyProtection="1">
      <alignment horizontal="center"/>
      <protection hidden="1"/>
    </xf>
    <xf numFmtId="165" fontId="58" fillId="0" borderId="0" xfId="0" applyNumberFormat="1" applyFont="1" applyFill="1" applyBorder="1" applyAlignment="1" applyProtection="1">
      <alignment wrapText="1"/>
      <protection hidden="1"/>
    </xf>
    <xf numFmtId="165" fontId="53" fillId="0" borderId="0" xfId="0" applyNumberFormat="1" applyFont="1" applyFill="1" applyBorder="1" applyAlignment="1" applyProtection="1">
      <alignment horizontal="right" vertical="center"/>
      <protection hidden="1"/>
    </xf>
    <xf numFmtId="165" fontId="53" fillId="0" borderId="0" xfId="0" applyNumberFormat="1" applyFont="1" applyFill="1" applyBorder="1" applyAlignment="1" applyProtection="1">
      <protection hidden="1"/>
    </xf>
    <xf numFmtId="165" fontId="53" fillId="0" borderId="0" xfId="0" applyNumberFormat="1" applyFont="1" applyFill="1" applyBorder="1" applyAlignment="1" applyProtection="1">
      <alignment horizontal="left" wrapText="1"/>
      <protection hidden="1"/>
    </xf>
  </cellXfs>
  <cellStyles count="3">
    <cellStyle name="Comma" xfId="1" builtinId="3"/>
    <cellStyle name="Hyperlink" xfId="2" builtinId="8"/>
    <cellStyle name="Normal" xfId="0" builtinId="0"/>
  </cellStyles>
  <dxfs count="23">
    <dxf>
      <font>
        <color auto="1"/>
      </font>
    </dxf>
    <dxf>
      <font>
        <color auto="1"/>
      </font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rgb="FFC00000"/>
      </font>
      <fill>
        <patternFill>
          <bgColor theme="5" tint="0.79998168889431442"/>
        </patternFill>
      </fill>
      <border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00000"/>
      </font>
      <fill>
        <patternFill patternType="none">
          <bgColor auto="1"/>
        </patternFill>
      </fill>
      <border>
        <vertical/>
        <horizontal/>
      </border>
    </dxf>
  </dxfs>
  <tableStyles count="0" defaultTableStyle="TableStyleMedium9" defaultPivotStyle="PivotStyleLight16"/>
  <colors>
    <mruColors>
      <color rgb="FF399AB5"/>
      <color rgb="FFF9B95B"/>
      <color rgb="FFF7C093"/>
      <color rgb="FFEABA8A"/>
      <color rgb="FFDCC6A8"/>
      <color rgb="FFD2B5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749301</xdr:colOff>
      <xdr:row>79</xdr:row>
      <xdr:rowOff>76201</xdr:rowOff>
    </xdr:from>
    <xdr:to>
      <xdr:col>10</xdr:col>
      <xdr:colOff>106401</xdr:colOff>
      <xdr:row>83</xdr:row>
      <xdr:rowOff>45929</xdr:rowOff>
    </xdr:to>
    <xdr:pic>
      <xdr:nvPicPr>
        <xdr:cNvPr id="12" name="Picture 11" descr="4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6901" y="10820401"/>
          <a:ext cx="2455900" cy="795228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304801</xdr:colOff>
      <xdr:row>1</xdr:row>
      <xdr:rowOff>190500</xdr:rowOff>
    </xdr:from>
    <xdr:to>
      <xdr:col>23</xdr:col>
      <xdr:colOff>368301</xdr:colOff>
      <xdr:row>5</xdr:row>
      <xdr:rowOff>118035</xdr:rowOff>
    </xdr:to>
    <xdr:pic>
      <xdr:nvPicPr>
        <xdr:cNvPr id="9" name="Picture 8" descr="StormChamber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58101" y="558800"/>
          <a:ext cx="3314700" cy="714935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84</xdr:row>
      <xdr:rowOff>127000</xdr:rowOff>
    </xdr:from>
    <xdr:to>
      <xdr:col>8</xdr:col>
      <xdr:colOff>520700</xdr:colOff>
      <xdr:row>98</xdr:row>
      <xdr:rowOff>25663</xdr:rowOff>
    </xdr:to>
    <xdr:pic>
      <xdr:nvPicPr>
        <xdr:cNvPr id="15" name="Picture 14" descr="spacing drawing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0" y="11760200"/>
          <a:ext cx="4203700" cy="2552963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</xdr:colOff>
      <xdr:row>84</xdr:row>
      <xdr:rowOff>63500</xdr:rowOff>
    </xdr:from>
    <xdr:to>
      <xdr:col>24</xdr:col>
      <xdr:colOff>303284</xdr:colOff>
      <xdr:row>101</xdr:row>
      <xdr:rowOff>83827</xdr:rowOff>
    </xdr:to>
    <xdr:pic>
      <xdr:nvPicPr>
        <xdr:cNvPr id="16" name="Picture 15" descr="spacing drawing 2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64400" y="11696700"/>
          <a:ext cx="3922784" cy="3246127"/>
        </a:xfrm>
        <a:prstGeom prst="rect">
          <a:avLst/>
        </a:prstGeom>
      </xdr:spPr>
    </xdr:pic>
    <xdr:clientData/>
  </xdr:twoCellAnchor>
  <xdr:twoCellAnchor editAs="oneCell">
    <xdr:from>
      <xdr:col>1</xdr:col>
      <xdr:colOff>368301</xdr:colOff>
      <xdr:row>76</xdr:row>
      <xdr:rowOff>114301</xdr:rowOff>
    </xdr:from>
    <xdr:to>
      <xdr:col>4</xdr:col>
      <xdr:colOff>76201</xdr:colOff>
      <xdr:row>79</xdr:row>
      <xdr:rowOff>164831</xdr:rowOff>
    </xdr:to>
    <xdr:pic>
      <xdr:nvPicPr>
        <xdr:cNvPr id="8" name="Picture 7" descr="34w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19101" y="10236201"/>
          <a:ext cx="2438400" cy="672830"/>
        </a:xfrm>
        <a:prstGeom prst="rect">
          <a:avLst/>
        </a:prstGeom>
      </xdr:spPr>
    </xdr:pic>
    <xdr:clientData/>
  </xdr:twoCellAnchor>
  <xdr:twoCellAnchor editAs="oneCell">
    <xdr:from>
      <xdr:col>1</xdr:col>
      <xdr:colOff>383939</xdr:colOff>
      <xdr:row>80</xdr:row>
      <xdr:rowOff>12700</xdr:rowOff>
    </xdr:from>
    <xdr:to>
      <xdr:col>4</xdr:col>
      <xdr:colOff>76201</xdr:colOff>
      <xdr:row>84</xdr:row>
      <xdr:rowOff>1859</xdr:rowOff>
    </xdr:to>
    <xdr:pic>
      <xdr:nvPicPr>
        <xdr:cNvPr id="10" name="Picture 9" descr="34e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4739" y="10960100"/>
          <a:ext cx="2422762" cy="674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B1:CY339"/>
  <sheetViews>
    <sheetView showGridLines="0" tabSelected="1" zoomScale="75" zoomScaleNormal="75" workbookViewId="0">
      <selection activeCell="D3" sqref="D3:L3"/>
    </sheetView>
  </sheetViews>
  <sheetFormatPr defaultRowHeight="15"/>
  <cols>
    <col min="1" max="1" width="0.7109375" style="84" customWidth="1"/>
    <col min="2" max="2" width="15.5703125" style="84" customWidth="1"/>
    <col min="3" max="3" width="10.7109375" style="84" customWidth="1"/>
    <col min="4" max="4" width="14.5703125" style="84" customWidth="1"/>
    <col min="5" max="5" width="13.5703125" style="84" customWidth="1"/>
    <col min="6" max="6" width="11.140625" style="84" customWidth="1"/>
    <col min="7" max="7" width="1.7109375" style="84" customWidth="1"/>
    <col min="8" max="8" width="10" style="84" customWidth="1"/>
    <col min="9" max="9" width="8.28515625" style="84" customWidth="1"/>
    <col min="10" max="10" width="1.5703125" style="84" customWidth="1"/>
    <col min="11" max="11" width="1.7109375" style="84" customWidth="1"/>
    <col min="12" max="12" width="2.85546875" style="84" customWidth="1"/>
    <col min="13" max="13" width="1.28515625" style="84" customWidth="1"/>
    <col min="14" max="14" width="3.5703125" style="84" customWidth="1"/>
    <col min="15" max="15" width="13.140625" style="84" customWidth="1"/>
    <col min="16" max="17" width="7.140625" style="84" customWidth="1"/>
    <col min="18" max="18" width="8" style="84" customWidth="1"/>
    <col min="19" max="19" width="10.140625" style="84" customWidth="1"/>
    <col min="20" max="20" width="1.28515625" style="84" customWidth="1"/>
    <col min="21" max="21" width="6.140625" style="84" customWidth="1"/>
    <col min="22" max="22" width="5.5703125" style="84" customWidth="1"/>
    <col min="23" max="23" width="3.140625" style="84" customWidth="1"/>
    <col min="24" max="24" width="5.7109375" style="84" customWidth="1"/>
    <col min="25" max="25" width="6.85546875" style="84" customWidth="1"/>
    <col min="26" max="26" width="4.28515625" style="84" customWidth="1"/>
    <col min="27" max="27" width="2.42578125" style="84" customWidth="1"/>
    <col min="28" max="28" width="5.7109375" style="84" customWidth="1"/>
    <col min="29" max="29" width="2.85546875" style="84" customWidth="1"/>
    <col min="30" max="45" width="20.7109375" style="84" customWidth="1"/>
    <col min="46" max="46" width="3.42578125" style="84" customWidth="1"/>
    <col min="47" max="47" width="4.28515625" style="85" customWidth="1"/>
    <col min="48" max="48" width="5" style="91" customWidth="1"/>
    <col min="49" max="49" width="6.42578125" style="91" customWidth="1"/>
    <col min="50" max="50" width="20.42578125" style="91" customWidth="1"/>
    <col min="51" max="51" width="13.28515625" style="91" customWidth="1"/>
    <col min="52" max="52" width="20.85546875" style="91" customWidth="1"/>
    <col min="53" max="53" width="19.140625" style="91" customWidth="1"/>
    <col min="54" max="54" width="11.42578125" style="91" customWidth="1"/>
    <col min="55" max="55" width="13.28515625" style="91" customWidth="1"/>
    <col min="56" max="56" width="12.85546875" style="91" customWidth="1"/>
    <col min="57" max="57" width="18.7109375" style="91" customWidth="1"/>
    <col min="58" max="58" width="19.140625" style="91" customWidth="1"/>
    <col min="59" max="59" width="12.42578125" style="91" customWidth="1"/>
    <col min="60" max="60" width="15.28515625" style="91" customWidth="1"/>
    <col min="61" max="61" width="1.42578125" style="91" customWidth="1"/>
    <col min="62" max="62" width="1.7109375" style="91" customWidth="1"/>
    <col min="63" max="63" width="24.42578125" style="91" customWidth="1"/>
    <col min="64" max="64" width="11.140625" style="91" customWidth="1"/>
    <col min="65" max="65" width="13" style="91" customWidth="1"/>
    <col min="66" max="67" width="13.5703125" style="91" customWidth="1"/>
    <col min="68" max="68" width="2" style="91" customWidth="1"/>
    <col min="69" max="69" width="24.7109375" style="91" customWidth="1"/>
    <col min="70" max="70" width="27.42578125" style="91" customWidth="1"/>
    <col min="71" max="72" width="23.140625" style="91" customWidth="1"/>
    <col min="73" max="73" width="15.7109375" style="91" customWidth="1"/>
    <col min="74" max="74" width="16.140625" style="91" customWidth="1"/>
    <col min="75" max="75" width="30.7109375" style="91" customWidth="1"/>
    <col min="76" max="76" width="24" style="91" customWidth="1"/>
    <col min="77" max="77" width="22" style="91" customWidth="1"/>
    <col min="78" max="78" width="17.7109375" style="91" customWidth="1"/>
    <col min="79" max="79" width="23" style="91" customWidth="1"/>
    <col min="80" max="80" width="21.7109375" style="91" customWidth="1"/>
    <col min="81" max="81" width="18.7109375" style="91" customWidth="1"/>
    <col min="82" max="82" width="16.7109375" style="91" customWidth="1"/>
    <col min="83" max="83" width="18.7109375" style="91" customWidth="1"/>
    <col min="84" max="84" width="25.85546875" style="88" customWidth="1"/>
    <col min="85" max="102" width="9.140625" style="88"/>
    <col min="103" max="16384" width="9.140625" style="84"/>
  </cols>
  <sheetData>
    <row r="1" spans="2:102" ht="29.25" customHeight="1">
      <c r="B1" s="241" t="s">
        <v>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3"/>
      <c r="AD1" s="299" t="s">
        <v>185</v>
      </c>
      <c r="AE1" s="299"/>
      <c r="AF1" s="299"/>
      <c r="AG1" s="299"/>
      <c r="AH1" s="299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23"/>
      <c r="AV1" s="323"/>
      <c r="AW1" s="313"/>
      <c r="AX1" s="313"/>
      <c r="AY1" s="313"/>
      <c r="AZ1" s="324" t="s">
        <v>39</v>
      </c>
      <c r="BA1" s="325"/>
      <c r="BB1" s="325"/>
      <c r="BC1" s="324"/>
      <c r="BD1" s="324"/>
      <c r="BE1" s="326" t="s">
        <v>40</v>
      </c>
      <c r="BF1" s="326"/>
      <c r="BG1" s="326"/>
      <c r="BH1" s="326"/>
      <c r="BI1" s="326"/>
      <c r="BJ1" s="326"/>
      <c r="BK1" s="327" t="s">
        <v>41</v>
      </c>
      <c r="BL1" s="327"/>
      <c r="BM1" s="327"/>
      <c r="BN1" s="327"/>
      <c r="BO1" s="327"/>
      <c r="BP1" s="313"/>
      <c r="BQ1" s="328" t="s">
        <v>49</v>
      </c>
      <c r="BR1" s="328"/>
      <c r="BS1" s="329" t="s">
        <v>50</v>
      </c>
      <c r="BT1" s="329" t="s">
        <v>51</v>
      </c>
      <c r="BU1" s="329" t="s">
        <v>52</v>
      </c>
      <c r="BV1" s="330" t="s">
        <v>219</v>
      </c>
      <c r="BW1" s="330" t="s">
        <v>53</v>
      </c>
      <c r="BX1" s="330"/>
      <c r="BY1" s="331"/>
      <c r="BZ1" s="332"/>
      <c r="CA1" s="332"/>
      <c r="CB1" s="332"/>
      <c r="CC1" s="203"/>
      <c r="CD1" s="70"/>
      <c r="CE1" s="70"/>
      <c r="CF1" s="70"/>
    </row>
    <row r="2" spans="2:102" ht="15.75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D2" s="144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6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33" t="s">
        <v>68</v>
      </c>
      <c r="BG2" s="333"/>
      <c r="BH2" s="333"/>
      <c r="BI2" s="313"/>
      <c r="BJ2" s="313"/>
      <c r="BK2" s="334" t="s">
        <v>37</v>
      </c>
      <c r="BL2" s="334"/>
      <c r="BM2" s="334"/>
      <c r="BN2" s="334"/>
      <c r="BO2" s="334"/>
      <c r="BP2" s="313"/>
      <c r="BQ2" s="318" t="s">
        <v>48</v>
      </c>
      <c r="BR2" s="318"/>
      <c r="BS2" s="335">
        <f>IF($H$23="Width",                IF(OR($H$37=1,$H$37=3),      1,     2),       IF(OR($H$37=1,$H$37=3),       2,    1))</f>
        <v>2</v>
      </c>
      <c r="BT2" s="335">
        <f>IF(H23="Width",          IF(H37=2,         1,       IF(H37=3,          2,         0)),       IF(H37=2,       2,        IF(H37=3,        1,       0)))</f>
        <v>1</v>
      </c>
      <c r="BU2" s="335">
        <f>IF($H$23="Width",         IF($H$37=3,       1,         0),        IF($H$37=3,       2,       0))</f>
        <v>0</v>
      </c>
      <c r="BV2" s="335">
        <f>IF(BY2&gt;H25,1,2)</f>
        <v>2</v>
      </c>
      <c r="BW2" s="335">
        <f>IF(H37=1,        BY32,        IF(H37=2,       BY95,       BY149))</f>
        <v>8</v>
      </c>
      <c r="BX2" s="335"/>
      <c r="BY2" s="335"/>
      <c r="BZ2" s="335"/>
      <c r="CA2" s="335"/>
      <c r="CB2" s="335"/>
      <c r="CC2" s="203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</row>
    <row r="3" spans="2:102" ht="15.75" customHeight="1">
      <c r="B3" s="247" t="s">
        <v>11</v>
      </c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D3" s="147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9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8">
        <f>IF(OR(H37=1,H37=3),BS2,BT2)</f>
        <v>1</v>
      </c>
      <c r="BG3" s="318"/>
      <c r="BH3" s="318"/>
      <c r="BI3" s="313"/>
      <c r="BJ3" s="313"/>
      <c r="BK3" s="336" t="s">
        <v>33</v>
      </c>
      <c r="BL3" s="336"/>
      <c r="BM3" s="336"/>
      <c r="BN3" s="336"/>
      <c r="BO3" s="336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37"/>
      <c r="CA3" s="337"/>
      <c r="CB3" s="313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</row>
    <row r="4" spans="2:102" ht="15" customHeight="1">
      <c r="B4" s="247" t="s">
        <v>10</v>
      </c>
      <c r="C4" s="247"/>
      <c r="D4" s="249"/>
      <c r="E4" s="249"/>
      <c r="F4" s="249"/>
      <c r="G4" s="249"/>
      <c r="H4" s="249"/>
      <c r="I4" s="249"/>
      <c r="J4" s="249"/>
      <c r="K4" s="249"/>
      <c r="L4" s="249"/>
      <c r="M4" s="11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 s="147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9"/>
      <c r="AU4" s="313"/>
      <c r="AV4" s="323"/>
      <c r="AW4" s="313"/>
      <c r="AX4" s="338" t="s">
        <v>174</v>
      </c>
      <c r="AY4" s="338"/>
      <c r="AZ4" s="338"/>
      <c r="BA4" s="339" t="s">
        <v>179</v>
      </c>
      <c r="BB4" s="339"/>
      <c r="BC4" s="339"/>
      <c r="BD4" s="339"/>
      <c r="BE4" s="340" t="s">
        <v>177</v>
      </c>
      <c r="BF4" s="340"/>
      <c r="BG4" s="340"/>
      <c r="BH4" s="341" t="s">
        <v>194</v>
      </c>
      <c r="BI4" s="323"/>
      <c r="BJ4" s="323"/>
      <c r="BK4" s="336" t="s">
        <v>35</v>
      </c>
      <c r="BL4" s="336"/>
      <c r="BM4" s="336"/>
      <c r="BN4" s="336"/>
      <c r="BO4" s="336"/>
      <c r="BP4" s="323"/>
      <c r="BQ4" s="342" t="s">
        <v>46</v>
      </c>
      <c r="BR4" s="342"/>
      <c r="BS4" s="342"/>
      <c r="BT4" s="342"/>
      <c r="BU4" s="342"/>
      <c r="BV4" s="342"/>
      <c r="BW4" s="342"/>
      <c r="BX4" s="342"/>
      <c r="BY4" s="342"/>
      <c r="BZ4" s="343"/>
      <c r="CA4" s="343"/>
      <c r="CB4" s="313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</row>
    <row r="5" spans="2:102" ht="15" customHeight="1">
      <c r="B5" s="247" t="s">
        <v>0</v>
      </c>
      <c r="C5" s="247"/>
      <c r="D5" s="250"/>
      <c r="E5" s="250"/>
      <c r="F5" s="250"/>
      <c r="G5" s="250"/>
      <c r="H5" s="250"/>
      <c r="I5" s="250"/>
      <c r="J5" s="250"/>
      <c r="K5" s="250"/>
      <c r="L5" s="250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  <c r="AD5" s="199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202"/>
      <c r="AT5" s="4"/>
      <c r="AU5" s="313"/>
      <c r="AV5" s="323"/>
      <c r="AW5" s="339"/>
      <c r="AX5" s="344" t="s">
        <v>187</v>
      </c>
      <c r="AY5" s="344"/>
      <c r="AZ5" s="345">
        <f>IF(H15="Imperial",               IF(H19="SC-44",            90,            IF(H19="SC-34E",           103,           101)),                 IF(H19="SC-44",          2286,               IF(H19="SC-34E",          2616,         2565)))</f>
        <v>101</v>
      </c>
      <c r="BA5" s="346" t="s">
        <v>189</v>
      </c>
      <c r="BB5" s="346"/>
      <c r="BC5" s="346"/>
      <c r="BD5" s="347">
        <f>IF(H15="Imperial",               IF(H19="SC-44",            90,            IF(H19="SC-34E",           103,           101)),                 IF(H19="SC-44",          2286,               IF(H19="SC-34E",          2616,         2565)))</f>
        <v>101</v>
      </c>
      <c r="BE5" s="344" t="s">
        <v>190</v>
      </c>
      <c r="BF5" s="344"/>
      <c r="BG5" s="348">
        <f>AY51</f>
        <v>93</v>
      </c>
      <c r="BH5" s="341" t="s">
        <v>192</v>
      </c>
      <c r="BI5" s="323"/>
      <c r="BJ5" s="323"/>
      <c r="BK5" s="336" t="s">
        <v>36</v>
      </c>
      <c r="BL5" s="336"/>
      <c r="BM5" s="336"/>
      <c r="BN5" s="336"/>
      <c r="BO5" s="336"/>
      <c r="BP5" s="323"/>
      <c r="BQ5" s="342"/>
      <c r="BR5" s="342"/>
      <c r="BS5" s="342"/>
      <c r="BT5" s="342"/>
      <c r="BU5" s="342"/>
      <c r="BV5" s="342"/>
      <c r="BW5" s="342"/>
      <c r="BX5" s="342"/>
      <c r="BY5" s="342"/>
      <c r="BZ5" s="343"/>
      <c r="CA5" s="343"/>
      <c r="CB5" s="313"/>
      <c r="CC5" s="59"/>
      <c r="CF5" s="59"/>
      <c r="CG5" s="59"/>
      <c r="CH5" s="59"/>
      <c r="CI5" s="59"/>
      <c r="CJ5" s="59"/>
      <c r="CK5" s="59"/>
      <c r="CL5" s="59"/>
      <c r="CM5" s="59"/>
      <c r="CN5" s="59"/>
    </row>
    <row r="6" spans="2:102" ht="15" customHeight="1">
      <c r="B6" s="247" t="s">
        <v>1</v>
      </c>
      <c r="C6" s="247"/>
      <c r="D6" s="251"/>
      <c r="E6" s="251"/>
      <c r="F6" s="251"/>
      <c r="G6" s="251"/>
      <c r="H6" s="251"/>
      <c r="I6" s="251"/>
      <c r="J6" s="251"/>
      <c r="K6" s="251"/>
      <c r="L6" s="251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199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202"/>
      <c r="AT6" s="8"/>
      <c r="AU6" s="318"/>
      <c r="AV6" s="349"/>
      <c r="AW6" s="339"/>
      <c r="AX6" s="350"/>
      <c r="AY6" s="350"/>
      <c r="AZ6" s="351"/>
      <c r="BA6" s="352"/>
      <c r="BB6" s="352"/>
      <c r="BC6" s="352"/>
      <c r="BD6" s="353"/>
      <c r="BE6" s="350"/>
      <c r="BF6" s="350"/>
      <c r="BG6" s="348"/>
      <c r="BH6" s="341"/>
      <c r="BI6" s="349"/>
      <c r="BJ6" s="349"/>
      <c r="BK6" s="349"/>
      <c r="BL6" s="349"/>
      <c r="BM6" s="349"/>
      <c r="BN6" s="349"/>
      <c r="BO6" s="313"/>
      <c r="BP6" s="313"/>
      <c r="BQ6" s="354" t="s">
        <v>121</v>
      </c>
      <c r="BR6" s="354"/>
      <c r="BS6" s="354"/>
      <c r="BT6" s="354"/>
      <c r="BU6" s="354"/>
      <c r="BV6" s="354"/>
      <c r="BW6" s="354"/>
      <c r="BX6" s="354"/>
      <c r="BY6" s="354"/>
      <c r="BZ6" s="343"/>
      <c r="CA6" s="343"/>
      <c r="CB6" s="313"/>
      <c r="CC6" s="60"/>
      <c r="CF6" s="61"/>
      <c r="CG6" s="61"/>
      <c r="CH6" s="61"/>
      <c r="CI6" s="61"/>
      <c r="CJ6" s="61"/>
      <c r="CK6" s="61"/>
      <c r="CL6" s="61"/>
      <c r="CM6" s="61"/>
      <c r="CN6" s="61"/>
    </row>
    <row r="7" spans="2:102" s="112" customFormat="1" ht="1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5"/>
      <c r="O7" s="233" t="s">
        <v>212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5"/>
      <c r="AC7" s="10"/>
      <c r="AD7" s="289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2"/>
      <c r="AT7" s="10"/>
      <c r="AU7" s="355"/>
      <c r="AV7" s="356"/>
      <c r="AW7" s="339"/>
      <c r="AX7" s="350" t="s">
        <v>188</v>
      </c>
      <c r="AY7" s="350"/>
      <c r="AZ7" s="345">
        <f>IF(H15="Imperial",              IF(H19="SC-44",               119.16,       IF(H19="SC-34E",          83.08,             83.24)),              IF(H19="SC-44",               3.37,       IF(H19="SC-34E",          2.35,             2.36)))</f>
        <v>83.24</v>
      </c>
      <c r="BA7" s="346" t="s">
        <v>195</v>
      </c>
      <c r="BB7" s="346"/>
      <c r="BC7" s="346"/>
      <c r="BD7" s="347">
        <f>AZ7*2</f>
        <v>166.48</v>
      </c>
      <c r="BE7" s="344" t="s">
        <v>195</v>
      </c>
      <c r="BF7" s="344"/>
      <c r="BG7" s="348">
        <f>AY53*2</f>
        <v>153.30000000000001</v>
      </c>
      <c r="BH7" s="341">
        <f>IF(H15="Imperial",           (((BA47*(BA49)*(AZ5+H55))/1728)-AZ7)*(H33/100),                    (((BA47*(BA49)*(AZ5+H55))/1000000000)-AZ7)*(H33/100))</f>
        <v>49.727611111111116</v>
      </c>
      <c r="BI7" s="356"/>
      <c r="BJ7" s="356"/>
      <c r="BK7" s="357" t="s">
        <v>34</v>
      </c>
      <c r="BL7" s="357"/>
      <c r="BM7" s="357"/>
      <c r="BN7" s="357"/>
      <c r="BO7" s="357"/>
      <c r="BP7" s="356"/>
      <c r="BQ7" s="354"/>
      <c r="BR7" s="354"/>
      <c r="BS7" s="354"/>
      <c r="BT7" s="354"/>
      <c r="BU7" s="354"/>
      <c r="BV7" s="354"/>
      <c r="BW7" s="354"/>
      <c r="BX7" s="354"/>
      <c r="BY7" s="354"/>
      <c r="BZ7" s="358" t="s">
        <v>100</v>
      </c>
      <c r="CA7" s="358" t="s">
        <v>101</v>
      </c>
      <c r="CB7" s="313"/>
      <c r="CC7" s="61"/>
      <c r="CD7" s="91"/>
      <c r="CE7" s="91"/>
      <c r="CF7" s="70"/>
      <c r="CG7" s="60"/>
      <c r="CH7" s="60"/>
      <c r="CI7" s="60"/>
      <c r="CJ7" s="60"/>
      <c r="CK7" s="60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91"/>
      <c r="CW7" s="91"/>
      <c r="CX7" s="91"/>
    </row>
    <row r="8" spans="2:102" s="112" customFormat="1" ht="2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117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117"/>
      <c r="AC8" s="8"/>
      <c r="AD8" s="289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2"/>
      <c r="AT8" s="8"/>
      <c r="AU8" s="318"/>
      <c r="AV8" s="349"/>
      <c r="AW8" s="339"/>
      <c r="AX8" s="351"/>
      <c r="AY8" s="351"/>
      <c r="AZ8" s="351"/>
      <c r="BA8" s="353"/>
      <c r="BB8" s="353"/>
      <c r="BC8" s="353"/>
      <c r="BD8" s="353"/>
      <c r="BE8" s="359"/>
      <c r="BF8" s="359"/>
      <c r="BG8" s="359"/>
      <c r="BH8" s="341"/>
      <c r="BI8" s="360"/>
      <c r="BJ8" s="349"/>
      <c r="BK8" s="357"/>
      <c r="BL8" s="357"/>
      <c r="BM8" s="357"/>
      <c r="BN8" s="357"/>
      <c r="BO8" s="357"/>
      <c r="BP8" s="349"/>
      <c r="BQ8" s="361" t="str">
        <f>IF($H$15="Imperial",       "Required Cubic Feet",       "Required Cubic Meters")</f>
        <v>Required Cubic Feet</v>
      </c>
      <c r="BR8" s="361" t="str">
        <f>IF($H$15="Imperial",       "Required Cubic Inches",       "Required Cubic mm")</f>
        <v>Required Cubic Inches</v>
      </c>
      <c r="BS8" s="361" t="str">
        <f>IF(BS2=1,       "Constraint Dimension (Width)",       "Constraint Dimension (Length)")</f>
        <v>Constraint Dimension (Length)</v>
      </c>
      <c r="BT8" s="361" t="str">
        <f>IF(BS2=1,       "(Constraint Width-2endR Width)/midR Width",       "(Constriant Length-2endC length)/midC length")</f>
        <v>(Constriant Length-2endC length)/midC length</v>
      </c>
      <c r="BU8" s="361"/>
      <c r="BV8" s="361" t="str">
        <f>IF(BS2=1,       "RoundDown for Maximum Number of midR",       "RoundDown for Maximum Number of midCs per Row")</f>
        <v>RoundDown for Maximum Number of midCs per Row</v>
      </c>
      <c r="BW8" s="361"/>
      <c r="BX8" s="361" t="str">
        <f>IF(BS2=1,       "Max suggested Number of Rows",      "Maximum Number of Chambers per Row")</f>
        <v>Maximum Number of Chambers per Row</v>
      </c>
      <c r="BY8" s="361">
        <f>IF(H37&lt;3,     0,             IF(BS2=1,       "Max suggested Number of Rows",      "Maximum Number of Chambers per Row"))</f>
        <v>0</v>
      </c>
      <c r="BZ8" s="358"/>
      <c r="CA8" s="358"/>
      <c r="CB8" s="313"/>
      <c r="CC8" s="61"/>
      <c r="CD8" s="91"/>
      <c r="CE8" s="91"/>
      <c r="CF8" s="70"/>
      <c r="CG8" s="63"/>
      <c r="CH8" s="63"/>
      <c r="CI8" s="101"/>
      <c r="CJ8" s="101"/>
      <c r="CK8" s="63"/>
      <c r="CL8" s="57"/>
      <c r="CM8" s="57"/>
      <c r="CN8" s="57"/>
      <c r="CO8" s="57"/>
      <c r="CP8" s="57"/>
      <c r="CQ8" s="57"/>
      <c r="CR8" s="57"/>
      <c r="CS8" s="57"/>
      <c r="CT8" s="66"/>
      <c r="CU8" s="66"/>
      <c r="CV8" s="91"/>
      <c r="CW8" s="91"/>
      <c r="CX8" s="91"/>
    </row>
    <row r="9" spans="2:102" s="112" customFormat="1" ht="12.75" customHeight="1">
      <c r="B9" s="242" t="s">
        <v>186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8"/>
      <c r="AD9" s="289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T9" s="8"/>
      <c r="AU9" s="318"/>
      <c r="AV9" s="349"/>
      <c r="AW9" s="339" t="s">
        <v>122</v>
      </c>
      <c r="AX9" s="346" t="s">
        <v>192</v>
      </c>
      <c r="AY9" s="346"/>
      <c r="AZ9" s="362">
        <f>IF(H15="Imperial",             (((((AZ5+H55)*(AY49+H55+4.5)*AZ47)/1728)-AZ7)*(H33/100)),                    (((((AZ5+H55)*(AY49+H55+115)*AZ47)/1000000000)-AZ7)*(H33/100)))</f>
        <v>58.751916666666673</v>
      </c>
      <c r="BA9" s="346" t="s">
        <v>192</v>
      </c>
      <c r="BB9" s="346"/>
      <c r="BC9" s="346"/>
      <c r="BD9" s="362">
        <f>2*AZ9</f>
        <v>117.50383333333335</v>
      </c>
      <c r="BE9" s="363" t="s">
        <v>178</v>
      </c>
      <c r="BF9" s="364"/>
      <c r="BG9" s="362">
        <f>2*AZ53</f>
        <v>109.74250000000001</v>
      </c>
      <c r="BH9" s="341" t="s">
        <v>193</v>
      </c>
      <c r="BI9" s="360"/>
      <c r="BJ9" s="349"/>
      <c r="BK9" s="315" t="str">
        <f>IF($H$15="Imperial",          "Imperial (inches and ft)",          "Metric (mm and meters)")</f>
        <v>Imperial (inches and ft)</v>
      </c>
      <c r="BL9" s="365" t="str">
        <f>IF($H$23="Width",         "by system width",         "by system length")</f>
        <v>by system width</v>
      </c>
      <c r="BM9" s="365"/>
      <c r="BN9" s="365"/>
      <c r="BO9" s="365"/>
      <c r="BP9" s="366"/>
      <c r="BQ9" s="361"/>
      <c r="BR9" s="361"/>
      <c r="BS9" s="361"/>
      <c r="BT9" s="361"/>
      <c r="BU9" s="361"/>
      <c r="BV9" s="361"/>
      <c r="BW9" s="361"/>
      <c r="BX9" s="361"/>
      <c r="BY9" s="361"/>
      <c r="BZ9" s="358"/>
      <c r="CA9" s="358"/>
      <c r="CB9" s="367"/>
      <c r="CC9" s="62"/>
      <c r="CD9" s="91"/>
      <c r="CE9" s="91"/>
      <c r="CF9" s="64"/>
      <c r="CG9" s="63"/>
      <c r="CH9" s="63"/>
      <c r="CI9" s="101"/>
      <c r="CJ9" s="101"/>
      <c r="CK9" s="63"/>
      <c r="CL9" s="57"/>
      <c r="CM9" s="57"/>
      <c r="CN9" s="57"/>
      <c r="CO9" s="57"/>
      <c r="CP9" s="57"/>
      <c r="CQ9" s="57"/>
      <c r="CR9" s="57"/>
      <c r="CS9" s="57"/>
      <c r="CT9" s="66"/>
      <c r="CU9" s="66"/>
      <c r="CV9" s="91"/>
      <c r="CW9" s="91"/>
      <c r="CX9" s="91"/>
    </row>
    <row r="10" spans="2:102" s="112" customFormat="1" ht="4.5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8"/>
      <c r="AD10" s="289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2"/>
      <c r="AT10" s="8"/>
      <c r="AU10" s="318"/>
      <c r="AV10" s="324"/>
      <c r="AW10" s="339"/>
      <c r="AX10" s="368"/>
      <c r="AY10" s="364"/>
      <c r="AZ10" s="362"/>
      <c r="BA10" s="350"/>
      <c r="BB10" s="317"/>
      <c r="BC10" s="369"/>
      <c r="BD10" s="362"/>
      <c r="BE10" s="368"/>
      <c r="BF10" s="364"/>
      <c r="BG10" s="362"/>
      <c r="BH10" s="370"/>
      <c r="BI10" s="360"/>
      <c r="BJ10" s="324"/>
      <c r="BK10" s="371" t="s">
        <v>29</v>
      </c>
      <c r="BL10" s="372" t="s">
        <v>32</v>
      </c>
      <c r="BM10" s="373" t="s">
        <v>26</v>
      </c>
      <c r="BN10" s="373" t="s">
        <v>27</v>
      </c>
      <c r="BO10" s="373" t="s">
        <v>28</v>
      </c>
      <c r="BP10" s="374"/>
      <c r="BQ10" s="361"/>
      <c r="BR10" s="361"/>
      <c r="BS10" s="361"/>
      <c r="BT10" s="361"/>
      <c r="BU10" s="361"/>
      <c r="BV10" s="361"/>
      <c r="BW10" s="361"/>
      <c r="BX10" s="361"/>
      <c r="BY10" s="361"/>
      <c r="BZ10" s="375">
        <f>IF(BS2=1,        IF(H15="Imperial",        IF(BX12=1,        (AZ49+H55-4.5)/12,      ((2*AZ49)+((BX12-2)*BA49))/12),     IF(BX12=1,         (AZ49+H55-115)/1000,      ((2*AZ49)+((BX12-2)*BA49))/1000)),                        IF(H15="Imperial",       IF(BU20=1,         (AZ49+H55-4.5)/12,      ((2*AZ49)+((BU20-2)*BA49))/12),                IF(BU20=1,          (AZ49+H55-115)/1000,      ((2*AZ49)+((BU20-2)*BA49))/1000)))</f>
        <v>18.5</v>
      </c>
      <c r="CA10" s="375">
        <f>IF(BS2=1,   "N/A",   IF(H15="Imperial",      IF(BX12=1,    (AZ5+H55+H55)/12,      ((2*AZ51)+((BX12-2)*BE51))/12),         IF(BX12=1,     (AZ5+H55+H55)/1000,      ((2*AZ51)+((BX12-2)*BE51))/1000)))</f>
        <v>17.5</v>
      </c>
      <c r="CB10" s="367"/>
      <c r="CC10" s="62"/>
      <c r="CD10" s="91"/>
      <c r="CE10" s="91"/>
      <c r="CF10" s="64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102"/>
      <c r="CR10" s="102"/>
      <c r="CS10" s="102"/>
      <c r="CT10" s="99"/>
      <c r="CU10" s="99"/>
      <c r="CV10" s="91"/>
      <c r="CW10" s="91"/>
      <c r="CX10" s="91"/>
    </row>
    <row r="11" spans="2:102" s="112" customFormat="1" ht="12" customHeight="1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8"/>
      <c r="AD11" s="289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2"/>
      <c r="AT11" s="8"/>
      <c r="AU11" s="318"/>
      <c r="AV11" s="324"/>
      <c r="AW11" s="339"/>
      <c r="AX11" s="368" t="s">
        <v>173</v>
      </c>
      <c r="AY11" s="364"/>
      <c r="AZ11" s="362">
        <f>IF(H15="Imperial",                                        (((AZ49*H55*AZ47)/1728)*(H33/100))+((((H55-4.5)*(AZ5+H55+H55)*AZ47)/1728)*(H33/100)),                                                                                                                                                 (((AZ49*H55*AZ47)/1000000000)*(H33/100))+((((H55-115)*(AZ5+H55+H55)*AZ47)/1000000000)*(H33/100)))</f>
        <v>19.757638888888891</v>
      </c>
      <c r="BA11" s="344" t="s">
        <v>173</v>
      </c>
      <c r="BB11" s="344"/>
      <c r="BC11" s="344"/>
      <c r="BD11" s="362">
        <f>IF(H15="Imperial",         2*(((AZ47*AZ49*H55)/1728)*(H33/100)),         2*(((AZ47*AZ49*H55)/1000000000)*(H33/100)))</f>
        <v>19.55</v>
      </c>
      <c r="BE11" s="368" t="s">
        <v>173</v>
      </c>
      <c r="BF11" s="364"/>
      <c r="BG11" s="362">
        <f>IF(H15="Imperial",          2*(((AZ47*(H55-4.5)*(AY51+H55))/1728)*(H33/100)),                2*(((AZ47*(H55-115)*(AY51+H55))/1000000000)*(H33/100)))</f>
        <v>16.770833333333336</v>
      </c>
      <c r="BH11" s="341">
        <f>IF(H15="Imperial",                (((BA47*(BA49)*H55)/1728)*(H33/100)),                     (((BA47*(BA49)*H55)/1000000000)*(H33/100)))</f>
        <v>8.8166666666666682</v>
      </c>
      <c r="BI11" s="360"/>
      <c r="BJ11" s="324"/>
      <c r="BK11" s="371"/>
      <c r="BL11" s="372"/>
      <c r="BM11" s="373"/>
      <c r="BN11" s="373"/>
      <c r="BO11" s="373"/>
      <c r="BP11" s="329"/>
      <c r="BQ11" s="361"/>
      <c r="BR11" s="361"/>
      <c r="BS11" s="361"/>
      <c r="BT11" s="361"/>
      <c r="BU11" s="361"/>
      <c r="BV11" s="361"/>
      <c r="BW11" s="361"/>
      <c r="BX11" s="361"/>
      <c r="BY11" s="361"/>
      <c r="BZ11" s="375"/>
      <c r="CA11" s="375"/>
      <c r="CB11" s="367"/>
      <c r="CC11" s="62"/>
      <c r="CD11" s="91"/>
      <c r="CE11" s="91"/>
      <c r="CF11" s="204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102"/>
      <c r="CR11" s="102"/>
      <c r="CS11" s="102"/>
      <c r="CT11" s="99"/>
      <c r="CU11" s="99"/>
      <c r="CV11" s="91"/>
      <c r="CW11" s="91"/>
      <c r="CX11" s="91"/>
    </row>
    <row r="12" spans="2:102" s="112" customFormat="1" ht="4.5" customHeight="1">
      <c r="B12" s="235" t="s">
        <v>9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7"/>
      <c r="N12" s="235" t="s">
        <v>13</v>
      </c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7"/>
      <c r="AC12" s="8"/>
      <c r="AD12" s="289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8"/>
      <c r="AU12" s="318"/>
      <c r="AV12" s="324"/>
      <c r="AW12" s="339"/>
      <c r="AX12" s="364"/>
      <c r="AY12" s="364"/>
      <c r="AZ12" s="362"/>
      <c r="BA12" s="364"/>
      <c r="BB12" s="313"/>
      <c r="BC12" s="364"/>
      <c r="BD12" s="362"/>
      <c r="BE12" s="364"/>
      <c r="BF12" s="364"/>
      <c r="BG12" s="362"/>
      <c r="BH12" s="341"/>
      <c r="BI12" s="376"/>
      <c r="BJ12" s="324"/>
      <c r="BK12" s="371"/>
      <c r="BL12" s="372"/>
      <c r="BM12" s="373"/>
      <c r="BN12" s="373"/>
      <c r="BO12" s="373"/>
      <c r="BP12" s="318"/>
      <c r="BQ12" s="343">
        <f>IF(H17-BO96-BO152&lt;=0,        0,            IF($H$37=1,       $H$17,                 IF($H$37=2,      $H$17-BO96,               IF($H$37=3,       $H$17-BO96-BO152,        0))))</f>
        <v>709.64616666666666</v>
      </c>
      <c r="BR12" s="377">
        <f>IF($H$15="Imperial",         BQ12*1728,        BQ12*1000000000)</f>
        <v>1226268.5759999999</v>
      </c>
      <c r="BS12" s="343">
        <f>IF(H37=1,            H25,                IF(H37=2,         IF(BS2=1,       BO97,         BO98),             IF(BS2=1,            BO154,     BO153)))</f>
        <v>24.25</v>
      </c>
      <c r="BT12" s="343">
        <f>IF($H$15="Imperial",                    IF(BS2=1,              ((BS12*12)-(2*AZ49))/BA49,                                    ((BS12*12)-(2*AZ51))/BE51),                                                                                                                                                                            IF(BS2=1,                                                                                                                     ((BS12*1000)-(2*AZ49))/BA49,                                ((BS12*1000)-(2*AZ51))/BE51))</f>
        <v>0.9101123595505618</v>
      </c>
      <c r="BU12" s="343"/>
      <c r="BV12" s="343">
        <f>IF(BT12&lt;0,0,ROUNDDOWN(BT12,0))</f>
        <v>0</v>
      </c>
      <c r="BW12" s="343"/>
      <c r="BX12" s="343">
        <f>IF(BQ12&lt;=AZ13,     1,       IF(H15="Imperial",             IF(BS2=1,         IF(BS12&lt;(((2*AZ49)/12)),      1,     BV12+2),           IF(BS12&lt;(((2*AZ51)/12)),      1,    BV12+2)),                                                                                       IF(BS2=1,         IF(BS12&lt;(((2*AZ49)/1000)),      1,     BV12+2),           IF(BS12&lt;(((2*AZ51)/1000)),      1,    BV12+2))))</f>
        <v>2</v>
      </c>
      <c r="BY12" s="343">
        <f>IF(BQ12&lt;=AZ13,     1,          IF(BS2=1,           IF(BQ12&lt;=BD13,       2,          (ROUNDUP(((BQ12-BD13)/BH15),0))+2),            IF(BQ12&lt;=BG13,              2,                IF(H15="Imperial",                                                                               (ROUNDUP(((BQ12-BG13)/(BG53+(((BE47*(H55-4.5)*BE51)/1728)*(H33/100)))),0))+2,        (ROUNDUP(((BQ12-BG13)/(BG53+(((BE47*(H55-115)*BE51)/1000000000)*(H33/100)))),0))+2))))</f>
        <v>6</v>
      </c>
      <c r="BZ12" s="378"/>
      <c r="CA12" s="378"/>
      <c r="CB12" s="367"/>
      <c r="CC12" s="62"/>
      <c r="CD12" s="91"/>
      <c r="CE12" s="91"/>
      <c r="CF12" s="63"/>
      <c r="CG12" s="63"/>
      <c r="CH12" s="65"/>
      <c r="CI12" s="65"/>
      <c r="CJ12" s="103"/>
      <c r="CK12" s="103"/>
      <c r="CL12" s="103"/>
      <c r="CM12" s="99"/>
      <c r="CN12" s="99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2:102" s="112" customFormat="1" ht="16.5" customHeight="1"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40"/>
      <c r="N13" s="238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8"/>
      <c r="AD13" s="289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2"/>
      <c r="AT13" s="8"/>
      <c r="AU13" s="318"/>
      <c r="AV13" s="324"/>
      <c r="AW13" s="339"/>
      <c r="AX13" s="379" t="s">
        <v>175</v>
      </c>
      <c r="AY13" s="379"/>
      <c r="AZ13" s="380">
        <f>AZ9+AZ11+AZ7</f>
        <v>161.74955555555556</v>
      </c>
      <c r="BA13" s="379" t="s">
        <v>175</v>
      </c>
      <c r="BB13" s="379"/>
      <c r="BC13" s="379"/>
      <c r="BD13" s="380">
        <f>BD9+BD11+BD7</f>
        <v>303.53383333333335</v>
      </c>
      <c r="BE13" s="379" t="s">
        <v>175</v>
      </c>
      <c r="BF13" s="379"/>
      <c r="BG13" s="380">
        <f>BG9+BG11+BG7</f>
        <v>279.81333333333339</v>
      </c>
      <c r="BH13" s="341" t="s">
        <v>175</v>
      </c>
      <c r="BI13" s="376"/>
      <c r="BJ13" s="324"/>
      <c r="BK13" s="371"/>
      <c r="BL13" s="381">
        <f>IF(BQ12=0,      0,           IF(BT57=1,       IF(BT65=1,     1,      2),    IF(BT61=0,          IF(BT65=1,         2,         4),           IF(BT59=1,           IF(BT63=1,          3,          4),       4))))</f>
        <v>4</v>
      </c>
      <c r="BM13" s="381">
        <f>IF(BL13=1,                                AZ9+AZ11,                                     IF(BL13=2,                                     IF(BO33=1,                                   BG9+BG11,                                    BD9+BD11),                                                                                                   IF(BL13=3,                        IF(H15="Imperial",                    BD9+AZ9+(((AZ47*(AZ5+H55)*(H55-4.5))/1728)*(H33/100))+(((AZ47*(AZ49-H55)*H55)/1728)*(H33/100)),                                                                                                       BD9+AZ9+(((AZ47*(AZ5+H55)*(H55-115))/1000000000)*(H33/100))+(((AZ47*(AZ49-H55)*H55)/1000000000)*(H33/100))),                   AZ53*4)))</f>
        <v>219.48500000000001</v>
      </c>
      <c r="BN13" s="381">
        <f>IF(BL13=1,                 AZ7,                IF(BL13=2,               IF(BO33=1,            BG7,             BD7),          IF(BL13=3,         (2*AY53)+AZ7,             4*AY53)))</f>
        <v>306.60000000000002</v>
      </c>
      <c r="BO13" s="381">
        <f>BM13+BN13</f>
        <v>526.08500000000004</v>
      </c>
      <c r="BP13" s="318"/>
      <c r="BQ13" s="343"/>
      <c r="BR13" s="377"/>
      <c r="BS13" s="343"/>
      <c r="BT13" s="343"/>
      <c r="BU13" s="343"/>
      <c r="BV13" s="343"/>
      <c r="BW13" s="343"/>
      <c r="BX13" s="343"/>
      <c r="BY13" s="343"/>
      <c r="BZ13" s="378"/>
      <c r="CA13" s="378"/>
      <c r="CB13" s="376"/>
      <c r="CC13" s="66"/>
      <c r="CD13" s="91"/>
      <c r="CE13" s="91"/>
      <c r="CF13" s="63"/>
      <c r="CG13" s="63"/>
      <c r="CH13" s="65"/>
      <c r="CI13" s="65"/>
      <c r="CJ13" s="103"/>
      <c r="CK13" s="103"/>
      <c r="CL13" s="103"/>
      <c r="CM13" s="99"/>
      <c r="CN13" s="99"/>
      <c r="CO13" s="91"/>
      <c r="CP13" s="91"/>
      <c r="CQ13" s="91"/>
      <c r="CR13" s="91"/>
      <c r="CS13" s="91"/>
      <c r="CT13" s="91"/>
      <c r="CU13" s="91"/>
      <c r="CV13" s="91"/>
      <c r="CW13" s="91"/>
      <c r="CX13" s="91"/>
    </row>
    <row r="14" spans="2:102" s="112" customFormat="1" ht="4.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3"/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80"/>
      <c r="AC14" s="8"/>
      <c r="AD14" s="289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  <c r="AT14" s="8"/>
      <c r="AU14" s="318"/>
      <c r="AV14" s="324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41"/>
      <c r="BI14" s="376"/>
      <c r="BJ14" s="324"/>
      <c r="BK14" s="373" t="s">
        <v>30</v>
      </c>
      <c r="BL14" s="372" t="s">
        <v>32</v>
      </c>
      <c r="BM14" s="373" t="s">
        <v>26</v>
      </c>
      <c r="BN14" s="373" t="s">
        <v>27</v>
      </c>
      <c r="BO14" s="373" t="s">
        <v>28</v>
      </c>
      <c r="BP14" s="318"/>
      <c r="BQ14" s="358" t="s">
        <v>220</v>
      </c>
      <c r="BR14" s="358"/>
      <c r="BS14" s="358"/>
      <c r="BT14" s="358"/>
      <c r="BU14" s="358"/>
      <c r="BV14" s="358"/>
      <c r="BW14" s="358"/>
      <c r="BX14" s="358"/>
      <c r="BY14" s="376"/>
      <c r="BZ14" s="378"/>
      <c r="CA14" s="378"/>
      <c r="CB14" s="376"/>
      <c r="CC14" s="66"/>
      <c r="CD14" s="91"/>
      <c r="CE14" s="91"/>
      <c r="CF14" s="61"/>
      <c r="CG14" s="61"/>
      <c r="CH14" s="61"/>
      <c r="CI14" s="61"/>
      <c r="CJ14" s="61"/>
      <c r="CK14" s="61"/>
      <c r="CL14" s="61"/>
      <c r="CM14" s="61"/>
      <c r="CN14" s="99"/>
      <c r="CO14" s="99"/>
      <c r="CP14" s="91"/>
      <c r="CQ14" s="91"/>
      <c r="CR14" s="91"/>
      <c r="CS14" s="91"/>
      <c r="CT14" s="91"/>
      <c r="CU14" s="91"/>
      <c r="CV14" s="91"/>
      <c r="CW14" s="91"/>
      <c r="CX14" s="91"/>
    </row>
    <row r="15" spans="2:102" s="112" customFormat="1" ht="15" customHeight="1">
      <c r="B15" s="137"/>
      <c r="C15" s="277" t="s">
        <v>216</v>
      </c>
      <c r="D15" s="277"/>
      <c r="E15" s="277"/>
      <c r="F15" s="277"/>
      <c r="G15" s="114"/>
      <c r="H15" s="306" t="s">
        <v>105</v>
      </c>
      <c r="I15" s="307"/>
      <c r="J15" s="261"/>
      <c r="K15" s="262"/>
      <c r="L15" s="15"/>
      <c r="N15" s="181"/>
      <c r="O15" s="114"/>
      <c r="P15" s="170"/>
      <c r="Q15" s="170"/>
      <c r="R15" s="170"/>
      <c r="S15" s="170"/>
      <c r="T15" s="16"/>
      <c r="U15" s="156" t="s">
        <v>130</v>
      </c>
      <c r="V15" s="269">
        <f>IF(H37=1,     BO41,        IF(H37=2,        BO41+BO96,        IF(H37&gt;2,        BO41+BO96+BO152)))</f>
        <v>1062.7105000000001</v>
      </c>
      <c r="W15" s="269"/>
      <c r="X15" s="269"/>
      <c r="Y15" s="17" t="str">
        <f>IF($H$15="Imperial","Cubic Feet", "Cubic Meters")</f>
        <v>Cubic Feet</v>
      </c>
      <c r="Z15" s="130"/>
      <c r="AA15" s="182"/>
      <c r="AB15" s="183"/>
      <c r="AC15" s="7"/>
      <c r="AD15" s="289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2"/>
      <c r="AT15" s="7"/>
      <c r="AU15" s="318"/>
      <c r="AV15" s="324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41">
        <f>BH7+BH11+AZ7</f>
        <v>141.78427777777779</v>
      </c>
      <c r="BI15" s="376"/>
      <c r="BJ15" s="324"/>
      <c r="BK15" s="373"/>
      <c r="BL15" s="372"/>
      <c r="BM15" s="373"/>
      <c r="BN15" s="373"/>
      <c r="BO15" s="373"/>
      <c r="BP15" s="318"/>
      <c r="BQ15" s="358"/>
      <c r="BR15" s="358"/>
      <c r="BS15" s="358"/>
      <c r="BT15" s="358"/>
      <c r="BU15" s="358"/>
      <c r="BV15" s="358"/>
      <c r="BW15" s="358"/>
      <c r="BX15" s="358"/>
      <c r="BY15" s="358"/>
      <c r="BZ15" s="378"/>
      <c r="CA15" s="378"/>
      <c r="CB15" s="367"/>
      <c r="CC15" s="62"/>
      <c r="CD15" s="91"/>
      <c r="CE15" s="91"/>
      <c r="CF15" s="61"/>
      <c r="CG15" s="61"/>
      <c r="CH15" s="61"/>
      <c r="CI15" s="61"/>
      <c r="CJ15" s="61"/>
      <c r="CK15" s="61"/>
      <c r="CL15" s="61"/>
      <c r="CM15" s="61"/>
      <c r="CN15" s="99"/>
      <c r="CO15" s="99"/>
      <c r="CP15" s="91"/>
      <c r="CQ15" s="91"/>
      <c r="CR15" s="91"/>
      <c r="CS15" s="91"/>
      <c r="CT15" s="91"/>
      <c r="CU15" s="91"/>
      <c r="CV15" s="91"/>
      <c r="CW15" s="91"/>
      <c r="CX15" s="91"/>
    </row>
    <row r="16" spans="2:102" s="112" customFormat="1" ht="3.75" customHeight="1">
      <c r="B16" s="137"/>
      <c r="C16" s="200"/>
      <c r="D16" s="200"/>
      <c r="E16" s="200"/>
      <c r="F16" s="200"/>
      <c r="G16" s="16"/>
      <c r="H16" s="130"/>
      <c r="I16" s="130"/>
      <c r="J16" s="16"/>
      <c r="K16" s="18"/>
      <c r="L16" s="19"/>
      <c r="N16" s="20"/>
      <c r="O16" s="16"/>
      <c r="P16" s="16"/>
      <c r="Q16" s="16"/>
      <c r="R16" s="16"/>
      <c r="S16" s="16"/>
      <c r="T16" s="16"/>
      <c r="U16" s="16"/>
      <c r="V16" s="195"/>
      <c r="W16" s="195"/>
      <c r="X16" s="195"/>
      <c r="Y16" s="16"/>
      <c r="Z16" s="16"/>
      <c r="AA16" s="16"/>
      <c r="AB16" s="19"/>
      <c r="AC16" s="7"/>
      <c r="AD16" s="289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2"/>
      <c r="AT16" s="7"/>
      <c r="AU16" s="318"/>
      <c r="AV16" s="324"/>
      <c r="AW16" s="383"/>
      <c r="AX16" s="383"/>
      <c r="AY16" s="383"/>
      <c r="AZ16" s="383"/>
      <c r="BA16" s="383"/>
      <c r="BB16" s="383"/>
      <c r="BC16" s="383"/>
      <c r="BD16" s="383"/>
      <c r="BE16" s="384"/>
      <c r="BF16" s="384"/>
      <c r="BG16" s="384"/>
      <c r="BH16" s="341"/>
      <c r="BI16" s="376"/>
      <c r="BJ16" s="324"/>
      <c r="BK16" s="373"/>
      <c r="BL16" s="372"/>
      <c r="BM16" s="373"/>
      <c r="BN16" s="373"/>
      <c r="BO16" s="373"/>
      <c r="BP16" s="318"/>
      <c r="BQ16" s="361" t="str">
        <f>IF(BS2=1,    "",      "number of endCs per fullR*endRendCvolumes")</f>
        <v>number of endCs per fullR*endRendCvolumes</v>
      </c>
      <c r="BR16" s="361" t="str">
        <f>IF(BS2=1,       "",      "Max number of midC per fullR*endRmidC Volume")</f>
        <v>Max number of midC per fullR*endRmidC Volume</v>
      </c>
      <c r="BS16" s="361"/>
      <c r="BT16" s="361" t="str">
        <f>IF(BS2=1,     "",      "Number of End Rows")</f>
        <v>Number of End Rows</v>
      </c>
      <c r="BU16" s="361" t="str">
        <f>IF(BS2=1,        "",     "min number of rows suggested")</f>
        <v>min number of rows suggested</v>
      </c>
      <c r="BV16" s="361"/>
      <c r="BW16" s="358" t="s">
        <v>124</v>
      </c>
      <c r="BX16" s="358"/>
      <c r="BY16" s="358"/>
      <c r="BZ16" s="378"/>
      <c r="CA16" s="378"/>
      <c r="CB16" s="367"/>
      <c r="CC16" s="62"/>
      <c r="CD16" s="91"/>
      <c r="CE16" s="91"/>
      <c r="CF16" s="63"/>
      <c r="CG16" s="63"/>
      <c r="CH16" s="63"/>
      <c r="CI16" s="63"/>
      <c r="CJ16" s="63"/>
      <c r="CK16" s="104"/>
      <c r="CL16" s="104"/>
      <c r="CM16" s="104"/>
      <c r="CN16" s="99"/>
      <c r="CO16" s="99"/>
      <c r="CP16" s="91"/>
      <c r="CQ16" s="91"/>
      <c r="CR16" s="91"/>
      <c r="CS16" s="91"/>
      <c r="CT16" s="91"/>
      <c r="CU16" s="91"/>
      <c r="CV16" s="91"/>
      <c r="CW16" s="91"/>
      <c r="CX16" s="91"/>
    </row>
    <row r="17" spans="2:102" s="112" customFormat="1" ht="15.75" customHeight="1">
      <c r="B17" s="137"/>
      <c r="C17" s="218" t="s">
        <v>12</v>
      </c>
      <c r="D17" s="218"/>
      <c r="E17" s="218"/>
      <c r="F17" s="218"/>
      <c r="G17" s="16"/>
      <c r="H17" s="308">
        <v>1000</v>
      </c>
      <c r="I17" s="309"/>
      <c r="J17" s="16"/>
      <c r="K17" s="130" t="str">
        <f>IF($H$15="Imperial","ft³", "m³")</f>
        <v>ft³</v>
      </c>
      <c r="L17" s="19"/>
      <c r="N17" s="20"/>
      <c r="O17" s="114"/>
      <c r="P17" s="170"/>
      <c r="Q17" s="170"/>
      <c r="R17" s="170"/>
      <c r="S17" s="170"/>
      <c r="T17" s="114"/>
      <c r="U17" s="156" t="s">
        <v>204</v>
      </c>
      <c r="V17" s="269">
        <f>BD53</f>
        <v>73.349999999999994</v>
      </c>
      <c r="W17" s="269"/>
      <c r="X17" s="269"/>
      <c r="Y17" s="17" t="str">
        <f>IF($H$15="Imperial","Cubic Feet", "Cubic Meters")</f>
        <v>Cubic Feet</v>
      </c>
      <c r="Z17" s="114"/>
      <c r="AA17" s="17"/>
      <c r="AB17" s="19"/>
      <c r="AC17" s="7"/>
      <c r="AD17" s="289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2"/>
      <c r="AT17" s="7"/>
      <c r="AU17" s="318"/>
      <c r="AV17" s="324"/>
      <c r="AW17" s="373" t="s">
        <v>123</v>
      </c>
      <c r="AX17" s="372" t="s">
        <v>174</v>
      </c>
      <c r="AY17" s="372"/>
      <c r="AZ17" s="372"/>
      <c r="BA17" s="339" t="s">
        <v>176</v>
      </c>
      <c r="BB17" s="339"/>
      <c r="BC17" s="339"/>
      <c r="BD17" s="339"/>
      <c r="BE17" s="340" t="s">
        <v>177</v>
      </c>
      <c r="BF17" s="340"/>
      <c r="BG17" s="340"/>
      <c r="BH17" s="341" t="s">
        <v>194</v>
      </c>
      <c r="BI17" s="385"/>
      <c r="BJ17" s="324"/>
      <c r="BK17" s="373"/>
      <c r="BL17" s="386">
        <f>IF(BT65&lt;=2,     0,      IF(BT57=1,        BT34,          IF(BT59=0,              2*BT34,           IF(BT59=1,       IF(BT63&lt;=2,            BT34,                 BT34+BQ54),            2*BT34))))</f>
        <v>0</v>
      </c>
      <c r="BM17" s="386">
        <f>BL17*BE53</f>
        <v>0</v>
      </c>
      <c r="BN17" s="387">
        <f>BL17*BD53</f>
        <v>0</v>
      </c>
      <c r="BO17" s="387">
        <f>IF(BO33=1,   IF(H15="Imperial",   (BM17+BN17)+(BL17*(((BE47*(H55-4.5)*BE51)/1728)*(H33/100))),   (BM17+BN17)+(BL17*(((BE47*(H55-115)*BE51)/1000000000)*(H33/100)))),   BM17+BN17)</f>
        <v>0</v>
      </c>
      <c r="BP17" s="318"/>
      <c r="BQ17" s="361"/>
      <c r="BR17" s="361"/>
      <c r="BS17" s="361"/>
      <c r="BT17" s="361"/>
      <c r="BU17" s="361"/>
      <c r="BV17" s="361"/>
      <c r="BW17" s="358"/>
      <c r="BX17" s="358"/>
      <c r="BY17" s="358"/>
      <c r="BZ17" s="378"/>
      <c r="CA17" s="378"/>
      <c r="CB17" s="367"/>
      <c r="CC17" s="62"/>
      <c r="CD17" s="91"/>
      <c r="CE17" s="91"/>
      <c r="CF17" s="63"/>
      <c r="CG17" s="63"/>
      <c r="CH17" s="63"/>
      <c r="CI17" s="63"/>
      <c r="CJ17" s="63"/>
      <c r="CK17" s="104"/>
      <c r="CL17" s="104"/>
      <c r="CM17" s="104"/>
      <c r="CN17" s="99"/>
      <c r="CO17" s="99"/>
      <c r="CP17" s="91"/>
      <c r="CQ17" s="91"/>
      <c r="CR17" s="91"/>
      <c r="CS17" s="91"/>
      <c r="CT17" s="91"/>
      <c r="CU17" s="91"/>
      <c r="CV17" s="91"/>
      <c r="CW17" s="91"/>
      <c r="CX17" s="91"/>
    </row>
    <row r="18" spans="2:102" s="112" customFormat="1" ht="3.75" customHeight="1">
      <c r="B18" s="137"/>
      <c r="C18" s="200"/>
      <c r="D18" s="200"/>
      <c r="E18" s="200"/>
      <c r="F18" s="200"/>
      <c r="G18" s="16"/>
      <c r="H18" s="130"/>
      <c r="I18" s="130"/>
      <c r="J18" s="16"/>
      <c r="K18" s="18"/>
      <c r="L18" s="19"/>
      <c r="N18" s="20"/>
      <c r="O18" s="114"/>
      <c r="P18" s="16"/>
      <c r="Q18" s="16"/>
      <c r="R18" s="16"/>
      <c r="S18" s="156"/>
      <c r="T18" s="16"/>
      <c r="U18" s="119"/>
      <c r="V18" s="194"/>
      <c r="W18" s="194"/>
      <c r="X18" s="194"/>
      <c r="Y18" s="55"/>
      <c r="Z18" s="18"/>
      <c r="AA18" s="18"/>
      <c r="AB18" s="19"/>
      <c r="AC18" s="7"/>
      <c r="AD18" s="289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2"/>
      <c r="AT18" s="7"/>
      <c r="AU18" s="318"/>
      <c r="AV18" s="324"/>
      <c r="AW18" s="373"/>
      <c r="AX18" s="372"/>
      <c r="AY18" s="372"/>
      <c r="AZ18" s="372"/>
      <c r="BA18" s="383"/>
      <c r="BB18" s="383"/>
      <c r="BC18" s="383"/>
      <c r="BD18" s="383"/>
      <c r="BE18" s="384"/>
      <c r="BF18" s="384"/>
      <c r="BG18" s="384"/>
      <c r="BH18" s="341" t="s">
        <v>192</v>
      </c>
      <c r="BI18" s="388"/>
      <c r="BJ18" s="324"/>
      <c r="BK18" s="373" t="s">
        <v>31</v>
      </c>
      <c r="BL18" s="372" t="s">
        <v>32</v>
      </c>
      <c r="BM18" s="373" t="s">
        <v>26</v>
      </c>
      <c r="BN18" s="373" t="s">
        <v>27</v>
      </c>
      <c r="BO18" s="373" t="s">
        <v>28</v>
      </c>
      <c r="BP18" s="318"/>
      <c r="BQ18" s="361"/>
      <c r="BR18" s="361"/>
      <c r="BS18" s="361"/>
      <c r="BT18" s="361"/>
      <c r="BU18" s="361"/>
      <c r="BV18" s="361"/>
      <c r="BW18" s="358"/>
      <c r="BX18" s="358"/>
      <c r="BY18" s="358"/>
      <c r="BZ18" s="378"/>
      <c r="CA18" s="378"/>
      <c r="CB18" s="367"/>
      <c r="CC18" s="62"/>
      <c r="CD18" s="61"/>
      <c r="CE18" s="61"/>
      <c r="CF18" s="61"/>
      <c r="CG18" s="61"/>
      <c r="CH18" s="61"/>
      <c r="CI18" s="61"/>
      <c r="CJ18" s="61"/>
      <c r="CK18" s="62"/>
      <c r="CL18" s="62"/>
      <c r="CM18" s="62"/>
      <c r="CN18" s="99"/>
      <c r="CO18" s="99"/>
      <c r="CP18" s="91"/>
      <c r="CQ18" s="91"/>
      <c r="CR18" s="91"/>
      <c r="CS18" s="91"/>
      <c r="CT18" s="91"/>
      <c r="CU18" s="91"/>
      <c r="CV18" s="91"/>
      <c r="CW18" s="91"/>
      <c r="CX18" s="91"/>
    </row>
    <row r="19" spans="2:102" s="112" customFormat="1" ht="15" customHeight="1">
      <c r="B19" s="137"/>
      <c r="C19" s="218" t="s">
        <v>104</v>
      </c>
      <c r="D19" s="218"/>
      <c r="E19" s="218"/>
      <c r="F19" s="218"/>
      <c r="G19" s="14"/>
      <c r="H19" s="308" t="s">
        <v>7</v>
      </c>
      <c r="I19" s="309"/>
      <c r="J19" s="261"/>
      <c r="K19" s="262"/>
      <c r="L19" s="19"/>
      <c r="N19" s="20"/>
      <c r="O19" s="114"/>
      <c r="P19" s="175"/>
      <c r="Q19" s="175"/>
      <c r="R19" s="175"/>
      <c r="S19" s="175"/>
      <c r="T19" s="125"/>
      <c r="U19" s="158" t="s">
        <v>14</v>
      </c>
      <c r="V19" s="270">
        <f>IF(H37=1,        BO51,          IF(H37=2,          BO51+BO101,         BO51+BO101+BO157))</f>
        <v>8</v>
      </c>
      <c r="W19" s="270"/>
      <c r="X19" s="270"/>
      <c r="Y19" s="114"/>
      <c r="Z19" s="130"/>
      <c r="AA19" s="17"/>
      <c r="AB19" s="19"/>
      <c r="AC19" s="7"/>
      <c r="AD19" s="289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2"/>
      <c r="AT19" s="7"/>
      <c r="AU19" s="318"/>
      <c r="AV19" s="324"/>
      <c r="AW19" s="373"/>
      <c r="AX19" s="346" t="s">
        <v>172</v>
      </c>
      <c r="AY19" s="346"/>
      <c r="AZ19" s="362">
        <f>IF(H15="Imperial",             (((((AZ5+H55)*(AY63+H55+4.5)*AZ61)/1728)-AZ7)*(H33/100)),                    (((((AZ5+H55)*(AY63+H55+115)*AZ61)/1000000000)-AZ7)*(H33/100)))</f>
        <v>58.751916666666673</v>
      </c>
      <c r="BA19" s="346" t="s">
        <v>172</v>
      </c>
      <c r="BB19" s="346"/>
      <c r="BC19" s="346"/>
      <c r="BD19" s="362">
        <f>2*AZ19</f>
        <v>117.50383333333335</v>
      </c>
      <c r="BE19" s="363" t="s">
        <v>172</v>
      </c>
      <c r="BF19" s="364"/>
      <c r="BG19" s="362">
        <f>2*BB67</f>
        <v>263.04250000000002</v>
      </c>
      <c r="BH19" s="341">
        <f>IF(H28="Imperial",           (((AZ61*(AY63+9)*(AZ5+H55))/1728)-AZ7)*(H56/100),                    (((AZ61*(AY63+225)*(AZ5+H55))/1000000000)-AZ7)*(H56/100))</f>
        <v>0</v>
      </c>
      <c r="BI19" s="324"/>
      <c r="BJ19" s="324"/>
      <c r="BK19" s="373"/>
      <c r="BL19" s="372"/>
      <c r="BM19" s="373"/>
      <c r="BN19" s="373"/>
      <c r="BO19" s="373"/>
      <c r="BP19" s="318"/>
      <c r="BQ19" s="361"/>
      <c r="BR19" s="361"/>
      <c r="BS19" s="361"/>
      <c r="BT19" s="361"/>
      <c r="BU19" s="361"/>
      <c r="BV19" s="361"/>
      <c r="BW19" s="358"/>
      <c r="BX19" s="358"/>
      <c r="BY19" s="358"/>
      <c r="BZ19" s="378"/>
      <c r="CA19" s="378"/>
      <c r="CB19" s="367"/>
      <c r="CC19" s="62"/>
      <c r="CD19" s="61"/>
      <c r="CE19" s="61"/>
      <c r="CF19" s="61"/>
      <c r="CG19" s="61"/>
      <c r="CH19" s="61"/>
      <c r="CI19" s="61"/>
      <c r="CJ19" s="61"/>
      <c r="CK19" s="62"/>
      <c r="CL19" s="62"/>
      <c r="CM19" s="62"/>
      <c r="CN19" s="99"/>
      <c r="CO19" s="99"/>
      <c r="CP19" s="91"/>
      <c r="CQ19" s="91"/>
      <c r="CR19" s="91"/>
      <c r="CS19" s="91"/>
      <c r="CT19" s="91"/>
      <c r="CU19" s="91"/>
      <c r="CV19" s="91"/>
      <c r="CW19" s="91"/>
      <c r="CX19" s="91"/>
    </row>
    <row r="20" spans="2:102" s="112" customFormat="1" ht="3.75" customHeight="1">
      <c r="B20" s="137"/>
      <c r="C20" s="200"/>
      <c r="D20" s="200"/>
      <c r="E20" s="200"/>
      <c r="F20" s="200"/>
      <c r="G20" s="14"/>
      <c r="H20" s="131"/>
      <c r="I20" s="131"/>
      <c r="J20" s="16"/>
      <c r="K20" s="18"/>
      <c r="L20" s="19"/>
      <c r="N20" s="20"/>
      <c r="O20" s="114"/>
      <c r="P20" s="170"/>
      <c r="Q20" s="170"/>
      <c r="R20" s="170"/>
      <c r="S20" s="170"/>
      <c r="T20" s="16"/>
      <c r="U20" s="156"/>
      <c r="V20" s="194"/>
      <c r="W20" s="194"/>
      <c r="X20" s="194"/>
      <c r="Y20" s="17"/>
      <c r="Z20" s="17"/>
      <c r="AA20" s="18"/>
      <c r="AB20" s="19"/>
      <c r="AC20" s="7"/>
      <c r="AD20" s="289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2"/>
      <c r="AT20" s="7"/>
      <c r="AU20" s="318"/>
      <c r="AV20" s="324"/>
      <c r="AW20" s="373"/>
      <c r="AX20" s="368"/>
      <c r="AY20" s="364"/>
      <c r="AZ20" s="362"/>
      <c r="BA20" s="350"/>
      <c r="BB20" s="317"/>
      <c r="BC20" s="369"/>
      <c r="BD20" s="362"/>
      <c r="BE20" s="368"/>
      <c r="BF20" s="364"/>
      <c r="BG20" s="362"/>
      <c r="BH20" s="341"/>
      <c r="BI20" s="324"/>
      <c r="BJ20" s="324"/>
      <c r="BK20" s="373"/>
      <c r="BL20" s="372"/>
      <c r="BM20" s="373"/>
      <c r="BN20" s="373"/>
      <c r="BO20" s="373"/>
      <c r="BP20" s="335"/>
      <c r="BQ20" s="343">
        <f>IF(BS2=1,        0,        IF(H15="Imperial",          IF(BX12=1,         (AZ7+AZ9)+(((H55*AZ47*AZ49)/1728)*(H33/100)),          2*(AZ7+AZ9)),                                                                                                                                                                                                                              IF(BX12=1,                         (AZ7+AZ9)+(((H55*AZ47*AZ49)/1000000000)*(H33/100)),          2*(AZ7+AZ9))))</f>
        <v>283.98383333333334</v>
      </c>
      <c r="BR20" s="343">
        <f>IF(BS2=1,     0,      IF(BV12=0,       0,         BV12))</f>
        <v>0</v>
      </c>
      <c r="BS20" s="343"/>
      <c r="BT20" s="343">
        <f>IF(BS2=1,        0,                  IF(BX12=1,                         IF(BQ12&lt;=AZ13,     1,              2),                            IF(BX12=2,              IF(BQ12&lt;=BG13,         1,              2),                                                                                                                                            IF(H15="Imperial",           IF(BQ12&lt;= ((2*(BB53+(((AZ47*(H55-4.5)*(AY51+H55))/1728)*(H33/100))))+(BV12*(BG53+(((BE47*(H55-4.5)*BD51)/1728)*(H33/100))))),          1,       2),                                                           IF(BQ12&lt;= ((2*(BB53+(((AZ47*(H55-115)*(AY51+H55))/1000000000)*(H33/100))))+(BV12*(BG53+(((BE47*(H55-115)*BD51)/1000000000)*(H33/100))))),          1,       2)))))</f>
        <v>2</v>
      </c>
      <c r="BU20" s="343">
        <f>IF(BS2=1,                  0,                 IF(BQ12&lt;=(2*(BQ20+BR20)),                      BT20,                                                                                                                                                                                                                                       IF(BX12=1,           (ROUNDUP((BQ12-(2*(BQ20+BR20)))/(BH15),0))+2,                            IF(BX12=2,                   (ROUNDUP((BQ12-(2*(BQ20+BR20)))/(2*BC53),0))+2,                                                                                                        (ROUNDUP((BQ12-(2*(BQ20+BR20)))/((BV12*BH53)+(2*BC53)),0))+2))))</f>
        <v>3</v>
      </c>
      <c r="BV20" s="343"/>
      <c r="BW20" s="358"/>
      <c r="BX20" s="358"/>
      <c r="BY20" s="358"/>
      <c r="BZ20" s="378"/>
      <c r="CA20" s="378"/>
      <c r="CB20" s="367"/>
      <c r="CC20" s="63"/>
      <c r="CD20" s="63"/>
      <c r="CE20" s="63"/>
      <c r="CF20" s="63"/>
      <c r="CG20" s="63"/>
      <c r="CH20" s="63"/>
      <c r="CI20" s="63"/>
      <c r="CJ20" s="63"/>
      <c r="CK20" s="62"/>
      <c r="CL20" s="62"/>
      <c r="CM20" s="62"/>
      <c r="CN20" s="99"/>
      <c r="CO20" s="99"/>
      <c r="CP20" s="91"/>
      <c r="CQ20" s="91"/>
      <c r="CR20" s="91"/>
      <c r="CS20" s="91"/>
      <c r="CT20" s="91"/>
      <c r="CU20" s="91"/>
      <c r="CV20" s="91"/>
      <c r="CW20" s="91"/>
      <c r="CX20" s="91"/>
    </row>
    <row r="21" spans="2:102" s="112" customFormat="1" ht="18" customHeight="1">
      <c r="B21" s="137"/>
      <c r="C21" s="200"/>
      <c r="D21" s="200"/>
      <c r="E21" s="200"/>
      <c r="F21" s="200"/>
      <c r="G21" s="16"/>
      <c r="H21" s="130"/>
      <c r="I21" s="130"/>
      <c r="J21" s="16"/>
      <c r="K21" s="18"/>
      <c r="L21" s="19"/>
      <c r="N21" s="20"/>
      <c r="O21" s="266" t="s">
        <v>217</v>
      </c>
      <c r="P21" s="267"/>
      <c r="Q21" s="267"/>
      <c r="R21" s="267"/>
      <c r="S21" s="267"/>
      <c r="T21" s="267"/>
      <c r="U21" s="267"/>
      <c r="V21" s="268">
        <f>IF(H15="Imperial",  ROUNDDOWN(((H47*(((((60*60*(60-H29))/1728)-15)*(H33/100))+15)+(V15-H17))/BH53), 0),    ROUNDDOWN(((H47*(((((1524*1524*(1524-H29))/1000000000)-0.45)*(H33/100))+0.45)+(V15-H17))/BH53), 0))</f>
        <v>1</v>
      </c>
      <c r="W21" s="268"/>
      <c r="X21" s="268"/>
      <c r="Y21" s="16"/>
      <c r="Z21" s="114"/>
      <c r="AA21" s="17"/>
      <c r="AB21" s="19"/>
      <c r="AC21" s="7"/>
      <c r="AD21" s="289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2"/>
      <c r="AT21" s="7"/>
      <c r="AU21" s="318"/>
      <c r="AV21" s="324"/>
      <c r="AW21" s="373"/>
      <c r="AX21" s="368" t="s">
        <v>173</v>
      </c>
      <c r="AY21" s="364"/>
      <c r="AZ21" s="362">
        <f>IF(H15="Imperial",                         (((AZ63*H55*AZ61)/1728)*(H33/100))+((((H55-4.5)*(AZ5+H55+H55)*AZ61)/1728)*(H33/100)),                                                                                                                                                               (((AZ63*H55*AZ61)/1000000000)*(H33/100))+((((H55-115)*(AZ5+H55+H55)*AZ61)/1000000000)*(H33/100)))</f>
        <v>19.757638888888891</v>
      </c>
      <c r="BA21" s="344" t="s">
        <v>173</v>
      </c>
      <c r="BB21" s="344"/>
      <c r="BC21" s="344"/>
      <c r="BD21" s="362">
        <f>IF(H15="Imperial",        2*(((AZ61*AZ63*H55)/1728)*(H33/100)),                     2*(((AZ61*AZ63*H55)/1000000000)*(H33/100)))</f>
        <v>19.55</v>
      </c>
      <c r="BE21" s="368" t="s">
        <v>173</v>
      </c>
      <c r="BF21" s="364"/>
      <c r="BG21" s="362">
        <f>IF(H15="Imperial",                  2*(((AZ61*(H55-4.5)*(AY65+H55))/1728)*(H33/100)),                      2*(((AZ61*(H55-115)*(AY65+H55))/1000000000)*(H33/100)))</f>
        <v>16.770833333333336</v>
      </c>
      <c r="BH21" s="341" t="s">
        <v>193</v>
      </c>
      <c r="BI21" s="324"/>
      <c r="BJ21" s="324"/>
      <c r="BK21" s="373"/>
      <c r="BL21" s="386">
        <f>IF(BT28=0,           0,          IF(BT65=1,            BT28,        IF(BT65=2,        IF(BT59=0,    2*BT28,          IF(BT59&lt;=2,          BT28,                BT28+BR60)),          2*BT28)))</f>
        <v>2</v>
      </c>
      <c r="BM21" s="386">
        <f>IF(BO35=1,        BL21*(BH7+BH11),         IF(BO35=2,            IF(BO39="no",         BL21*BA53,       IF(BT59&lt;=2,      BL21*(BH7+BH11),       ((BL21-BT61)*BA53)+(BT61*(BH7+BH11)))),           BL21*BA53))</f>
        <v>92.971666666666678</v>
      </c>
      <c r="BN21" s="387">
        <f>IF(BO35=1,         BL21*AZ7,         IF(BO35=2,            IF(BO39="no",            BL21*AY53,            IF(BT59&lt;=2,         BL21*AZ7,            ((BL21-BT61)*AY53)+(BT61*AZ7))),                 BL21*AY53))</f>
        <v>153.30000000000001</v>
      </c>
      <c r="BO21" s="387">
        <f>BM21+BN21</f>
        <v>246.2716666666667</v>
      </c>
      <c r="BP21" s="318"/>
      <c r="BQ21" s="343"/>
      <c r="BR21" s="343"/>
      <c r="BS21" s="343"/>
      <c r="BT21" s="343"/>
      <c r="BU21" s="343"/>
      <c r="BV21" s="343"/>
      <c r="BW21" s="358"/>
      <c r="BX21" s="358"/>
      <c r="BY21" s="358"/>
      <c r="BZ21" s="378"/>
      <c r="CA21" s="378"/>
      <c r="CB21" s="325"/>
      <c r="CC21" s="63"/>
      <c r="CD21" s="63"/>
      <c r="CE21" s="63"/>
      <c r="CF21" s="63"/>
      <c r="CG21" s="63"/>
      <c r="CH21" s="63"/>
      <c r="CI21" s="63"/>
      <c r="CJ21" s="63"/>
      <c r="CK21" s="62"/>
      <c r="CL21" s="62"/>
      <c r="CM21" s="62"/>
      <c r="CN21" s="99"/>
      <c r="CO21" s="99"/>
      <c r="CP21" s="91"/>
      <c r="CQ21" s="91"/>
      <c r="CR21" s="91"/>
      <c r="CS21" s="91"/>
      <c r="CT21" s="91"/>
      <c r="CU21" s="91"/>
      <c r="CV21" s="91"/>
      <c r="CW21" s="91"/>
      <c r="CX21" s="91"/>
    </row>
    <row r="22" spans="2:102" s="112" customFormat="1" ht="4.5" customHeight="1">
      <c r="B22" s="137"/>
      <c r="C22" s="200"/>
      <c r="D22" s="200"/>
      <c r="E22" s="200"/>
      <c r="F22" s="200"/>
      <c r="G22" s="16"/>
      <c r="H22" s="130"/>
      <c r="I22" s="130"/>
      <c r="J22" s="16"/>
      <c r="K22" s="18"/>
      <c r="L22" s="19"/>
      <c r="N22" s="20"/>
      <c r="O22" s="267"/>
      <c r="P22" s="267"/>
      <c r="Q22" s="267"/>
      <c r="R22" s="267"/>
      <c r="S22" s="267"/>
      <c r="T22" s="267"/>
      <c r="U22" s="267"/>
      <c r="V22" s="268"/>
      <c r="W22" s="268"/>
      <c r="X22" s="268"/>
      <c r="Y22" s="18"/>
      <c r="Z22" s="18"/>
      <c r="AA22" s="18"/>
      <c r="AB22" s="19"/>
      <c r="AC22" s="7"/>
      <c r="AD22" s="289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2"/>
      <c r="AT22" s="7"/>
      <c r="AU22" s="318"/>
      <c r="AV22" s="324"/>
      <c r="AW22" s="373"/>
      <c r="AX22" s="364"/>
      <c r="AY22" s="364"/>
      <c r="AZ22" s="362"/>
      <c r="BA22" s="364"/>
      <c r="BB22" s="313"/>
      <c r="BC22" s="364"/>
      <c r="BD22" s="362"/>
      <c r="BE22" s="364"/>
      <c r="BF22" s="364"/>
      <c r="BG22" s="362"/>
      <c r="BH22" s="370"/>
      <c r="BI22" s="324"/>
      <c r="BJ22" s="324"/>
      <c r="BK22" s="373" t="s">
        <v>38</v>
      </c>
      <c r="BL22" s="372" t="s">
        <v>32</v>
      </c>
      <c r="BM22" s="373" t="s">
        <v>26</v>
      </c>
      <c r="BN22" s="373" t="s">
        <v>27</v>
      </c>
      <c r="BO22" s="373" t="s">
        <v>28</v>
      </c>
      <c r="BP22" s="318"/>
      <c r="BQ22" s="389" t="s">
        <v>221</v>
      </c>
      <c r="BR22" s="389"/>
      <c r="BS22" s="389"/>
      <c r="BT22" s="389"/>
      <c r="BU22" s="389"/>
      <c r="BV22" s="389"/>
      <c r="BW22" s="389"/>
      <c r="BX22" s="389"/>
      <c r="BY22" s="358"/>
      <c r="BZ22" s="378"/>
      <c r="CA22" s="378"/>
      <c r="CB22" s="325"/>
      <c r="CC22" s="61"/>
      <c r="CD22" s="61"/>
      <c r="CE22" s="61"/>
      <c r="CF22" s="61"/>
      <c r="CG22" s="61"/>
      <c r="CH22" s="105"/>
      <c r="CI22" s="105"/>
      <c r="CJ22" s="61"/>
      <c r="CK22" s="61"/>
      <c r="CL22" s="61"/>
      <c r="CM22" s="61"/>
      <c r="CN22" s="99"/>
      <c r="CO22" s="99"/>
      <c r="CP22" s="91"/>
      <c r="CQ22" s="91"/>
      <c r="CR22" s="91"/>
      <c r="CS22" s="91"/>
      <c r="CT22" s="91"/>
      <c r="CU22" s="91"/>
      <c r="CV22" s="91"/>
      <c r="CW22" s="91"/>
      <c r="CX22" s="91"/>
    </row>
    <row r="23" spans="2:102" s="112" customFormat="1" ht="14.25" customHeight="1">
      <c r="B23" s="137"/>
      <c r="C23" s="218" t="s">
        <v>205</v>
      </c>
      <c r="D23" s="218"/>
      <c r="E23" s="218"/>
      <c r="F23" s="218"/>
      <c r="G23" s="16"/>
      <c r="H23" s="308" t="s">
        <v>60</v>
      </c>
      <c r="I23" s="309"/>
      <c r="J23" s="261"/>
      <c r="K23" s="262"/>
      <c r="L23" s="19"/>
      <c r="N23" s="20"/>
      <c r="O23" s="267"/>
      <c r="P23" s="267"/>
      <c r="Q23" s="267"/>
      <c r="R23" s="267"/>
      <c r="S23" s="267"/>
      <c r="T23" s="267"/>
      <c r="U23" s="267"/>
      <c r="V23" s="268"/>
      <c r="W23" s="268"/>
      <c r="X23" s="268"/>
      <c r="Y23" s="114"/>
      <c r="Z23" s="18"/>
      <c r="AA23" s="114"/>
      <c r="AB23" s="19"/>
      <c r="AC23" s="7"/>
      <c r="AD23" s="289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2"/>
      <c r="AT23" s="7"/>
      <c r="AU23" s="318"/>
      <c r="AV23" s="324"/>
      <c r="AW23" s="373"/>
      <c r="AX23" s="379" t="s">
        <v>175</v>
      </c>
      <c r="AY23" s="379"/>
      <c r="AZ23" s="380">
        <f>AZ19+AZ21+AZ7</f>
        <v>161.74955555555556</v>
      </c>
      <c r="BA23" s="379" t="s">
        <v>175</v>
      </c>
      <c r="BB23" s="379"/>
      <c r="BC23" s="379"/>
      <c r="BD23" s="380">
        <f>BD19+BD21+BD7</f>
        <v>303.53383333333335</v>
      </c>
      <c r="BE23" s="379" t="s">
        <v>175</v>
      </c>
      <c r="BF23" s="379"/>
      <c r="BG23" s="380">
        <f>BG19+BG21</f>
        <v>279.81333333333333</v>
      </c>
      <c r="BH23" s="341">
        <f>IF(H28="Imperial",                (((AZ61*(AY63+9)*H55)/1728)*(H56/100)),                     (((AZ61*(AY63+225)*H55)/1000000000)*(H56/100)))</f>
        <v>0</v>
      </c>
      <c r="BI23" s="388"/>
      <c r="BJ23" s="324"/>
      <c r="BK23" s="373"/>
      <c r="BL23" s="372"/>
      <c r="BM23" s="373"/>
      <c r="BN23" s="373"/>
      <c r="BO23" s="373"/>
      <c r="BP23" s="318"/>
      <c r="BQ23" s="389"/>
      <c r="BR23" s="389"/>
      <c r="BS23" s="389"/>
      <c r="BT23" s="389"/>
      <c r="BU23" s="389"/>
      <c r="BV23" s="389"/>
      <c r="BW23" s="389"/>
      <c r="BX23" s="389"/>
      <c r="BY23" s="358"/>
      <c r="BZ23" s="378"/>
      <c r="CA23" s="378"/>
      <c r="CB23" s="337"/>
      <c r="CC23" s="61"/>
      <c r="CD23" s="61"/>
      <c r="CE23" s="61"/>
      <c r="CF23" s="61"/>
      <c r="CG23" s="61"/>
      <c r="CH23" s="105"/>
      <c r="CI23" s="105"/>
      <c r="CJ23" s="61"/>
      <c r="CK23" s="61"/>
      <c r="CL23" s="61"/>
      <c r="CM23" s="61"/>
      <c r="CN23" s="99"/>
      <c r="CO23" s="99"/>
      <c r="CP23" s="91"/>
      <c r="CQ23" s="91"/>
      <c r="CR23" s="91"/>
      <c r="CS23" s="91"/>
      <c r="CT23" s="91"/>
      <c r="CU23" s="91"/>
      <c r="CV23" s="91"/>
      <c r="CW23" s="91"/>
      <c r="CX23" s="91"/>
    </row>
    <row r="24" spans="2:102" s="112" customFormat="1" ht="3.75" customHeight="1">
      <c r="B24" s="137"/>
      <c r="C24" s="200"/>
      <c r="D24" s="200"/>
      <c r="E24" s="200"/>
      <c r="F24" s="200"/>
      <c r="G24" s="16"/>
      <c r="H24" s="130"/>
      <c r="I24" s="130"/>
      <c r="J24" s="16"/>
      <c r="K24" s="18"/>
      <c r="L24" s="19"/>
      <c r="N24" s="20"/>
      <c r="O24" s="184"/>
      <c r="P24" s="184"/>
      <c r="Q24" s="184"/>
      <c r="R24" s="184"/>
      <c r="S24" s="184"/>
      <c r="T24" s="184"/>
      <c r="U24" s="184"/>
      <c r="V24" s="185"/>
      <c r="W24" s="185"/>
      <c r="X24" s="185"/>
      <c r="Y24" s="114"/>
      <c r="Z24" s="114"/>
      <c r="AA24" s="114"/>
      <c r="AB24" s="19"/>
      <c r="AC24" s="7"/>
      <c r="AD24" s="28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2"/>
      <c r="AT24" s="7"/>
      <c r="AU24" s="318"/>
      <c r="AV24" s="324"/>
      <c r="AW24" s="383"/>
      <c r="AX24" s="383"/>
      <c r="AY24" s="383"/>
      <c r="AZ24" s="383"/>
      <c r="BA24" s="383"/>
      <c r="BB24" s="383"/>
      <c r="BC24" s="383"/>
      <c r="BD24" s="383"/>
      <c r="BE24" s="384"/>
      <c r="BF24" s="384"/>
      <c r="BG24" s="384"/>
      <c r="BH24" s="341"/>
      <c r="BI24" s="324"/>
      <c r="BJ24" s="324"/>
      <c r="BK24" s="373"/>
      <c r="BL24" s="372"/>
      <c r="BM24" s="373"/>
      <c r="BN24" s="373"/>
      <c r="BO24" s="373"/>
      <c r="BP24" s="318"/>
      <c r="BQ24" s="390" t="s">
        <v>110</v>
      </c>
      <c r="BR24" s="390" t="str">
        <f>IF(H37=1,          "Chosen Number of Rows",      "Default Number of Rows")</f>
        <v>Default Number of Rows</v>
      </c>
      <c r="BS24" s="390" t="s">
        <v>111</v>
      </c>
      <c r="BT24" s="382" t="s">
        <v>112</v>
      </c>
      <c r="BU24" s="382" t="s">
        <v>113</v>
      </c>
      <c r="BV24" s="382"/>
      <c r="BW24" s="382" t="s">
        <v>114</v>
      </c>
      <c r="BX24" s="358"/>
      <c r="BY24" s="358"/>
      <c r="BZ24" s="378"/>
      <c r="CA24" s="378"/>
      <c r="CB24" s="337"/>
      <c r="CC24" s="61"/>
      <c r="CD24" s="61"/>
      <c r="CE24" s="61"/>
      <c r="CF24" s="61"/>
      <c r="CG24" s="61"/>
      <c r="CH24" s="105"/>
      <c r="CI24" s="105"/>
      <c r="CJ24" s="61"/>
      <c r="CK24" s="61"/>
      <c r="CL24" s="61"/>
      <c r="CM24" s="61"/>
      <c r="CN24" s="99"/>
      <c r="CO24" s="99"/>
      <c r="CP24" s="91"/>
      <c r="CQ24" s="91"/>
      <c r="CR24" s="91"/>
      <c r="CS24" s="91"/>
      <c r="CT24" s="91"/>
      <c r="CU24" s="91"/>
      <c r="CV24" s="91"/>
      <c r="CW24" s="91"/>
      <c r="CX24" s="91"/>
    </row>
    <row r="25" spans="2:102" s="112" customFormat="1" ht="15.75" customHeight="1">
      <c r="B25" s="217" t="str">
        <f>IF(H37&gt;1, "Design Constraint Dimension (applies to the bottom Layer)", "Design Constraint Dimension")</f>
        <v>Design Constraint Dimension (applies to the bottom Layer)</v>
      </c>
      <c r="C25" s="218"/>
      <c r="D25" s="218"/>
      <c r="E25" s="218"/>
      <c r="F25" s="218"/>
      <c r="G25" s="16"/>
      <c r="H25" s="308">
        <v>50</v>
      </c>
      <c r="I25" s="309"/>
      <c r="J25" s="16"/>
      <c r="K25" s="130" t="str">
        <f>IF($H$15="Imperial","ft","m")</f>
        <v>ft</v>
      </c>
      <c r="L25" s="19"/>
      <c r="N25" s="20"/>
      <c r="O25" s="243" t="s">
        <v>197</v>
      </c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114"/>
      <c r="AA25" s="114"/>
      <c r="AB25" s="19"/>
      <c r="AC25" s="7"/>
      <c r="AD25" s="28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2"/>
      <c r="AT25" s="7"/>
      <c r="AU25" s="318"/>
      <c r="AV25" s="324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41" t="s">
        <v>175</v>
      </c>
      <c r="BI25" s="324"/>
      <c r="BJ25" s="324"/>
      <c r="BK25" s="373"/>
      <c r="BL25" s="387">
        <f>IF(BT28=0,    0,     IF(BT65&lt;=2,         0,            IF(BT59=0,               BT28*BT34,              IF(BT59&lt;=2,      BT28*BQ54,          (BT28*BQ54)+BR60))))</f>
        <v>0</v>
      </c>
      <c r="BM25" s="387">
        <f>BL25*BF53</f>
        <v>0</v>
      </c>
      <c r="BN25" s="387">
        <f>BL25*BD53</f>
        <v>0</v>
      </c>
      <c r="BO25" s="387">
        <f>BL25*BH53</f>
        <v>0</v>
      </c>
      <c r="BP25" s="318"/>
      <c r="BQ25" s="390"/>
      <c r="BR25" s="390"/>
      <c r="BS25" s="390"/>
      <c r="BT25" s="382"/>
      <c r="BU25" s="382"/>
      <c r="BV25" s="382"/>
      <c r="BW25" s="382"/>
      <c r="BX25" s="358"/>
      <c r="BY25" s="358"/>
      <c r="BZ25" s="378"/>
      <c r="CA25" s="378"/>
      <c r="CB25" s="337"/>
      <c r="CC25" s="63"/>
      <c r="CD25" s="63"/>
      <c r="CE25" s="63"/>
      <c r="CF25" s="63"/>
      <c r="CG25" s="63"/>
      <c r="CH25" s="63"/>
      <c r="CI25" s="63"/>
      <c r="CJ25" s="65"/>
      <c r="CK25" s="65"/>
      <c r="CL25" s="65"/>
      <c r="CM25" s="65"/>
      <c r="CN25" s="99"/>
      <c r="CO25" s="99"/>
      <c r="CP25" s="91"/>
      <c r="CQ25" s="91"/>
      <c r="CR25" s="91"/>
      <c r="CS25" s="91"/>
      <c r="CT25" s="91"/>
      <c r="CU25" s="91"/>
      <c r="CV25" s="91"/>
      <c r="CW25" s="91"/>
      <c r="CX25" s="91"/>
    </row>
    <row r="26" spans="2:102" s="112" customFormat="1" ht="4.5" customHeight="1">
      <c r="B26" s="137"/>
      <c r="C26" s="200"/>
      <c r="D26" s="200"/>
      <c r="E26" s="200"/>
      <c r="F26" s="200"/>
      <c r="G26" s="16"/>
      <c r="H26" s="130"/>
      <c r="I26" s="130"/>
      <c r="J26" s="16"/>
      <c r="K26" s="18"/>
      <c r="L26" s="19"/>
      <c r="N26" s="20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9"/>
      <c r="AC26" s="7"/>
      <c r="AD26" s="289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2"/>
      <c r="AT26" s="7"/>
      <c r="AU26" s="318"/>
      <c r="AV26" s="324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41"/>
      <c r="BI26" s="324"/>
      <c r="BJ26" s="324"/>
      <c r="BK26" s="391"/>
      <c r="BL26" s="384"/>
      <c r="BM26" s="391"/>
      <c r="BN26" s="391"/>
      <c r="BO26" s="391"/>
      <c r="BP26" s="318"/>
      <c r="BQ26" s="390"/>
      <c r="BR26" s="390"/>
      <c r="BS26" s="390"/>
      <c r="BT26" s="382"/>
      <c r="BU26" s="382"/>
      <c r="BV26" s="382"/>
      <c r="BW26" s="382"/>
      <c r="BX26" s="358"/>
      <c r="BY26" s="390" t="s">
        <v>106</v>
      </c>
      <c r="BZ26" s="390"/>
      <c r="CA26" s="390"/>
      <c r="CB26" s="337"/>
      <c r="CC26" s="63"/>
      <c r="CD26" s="63"/>
      <c r="CE26" s="63"/>
      <c r="CF26" s="63"/>
      <c r="CG26" s="63"/>
      <c r="CH26" s="63"/>
      <c r="CI26" s="63"/>
      <c r="CJ26" s="65"/>
      <c r="CK26" s="65"/>
      <c r="CL26" s="65"/>
      <c r="CM26" s="65"/>
      <c r="CN26" s="99"/>
      <c r="CO26" s="99"/>
      <c r="CP26" s="91"/>
      <c r="CQ26" s="91"/>
      <c r="CR26" s="91"/>
      <c r="CS26" s="91"/>
      <c r="CT26" s="91"/>
      <c r="CU26" s="91"/>
      <c r="CV26" s="91"/>
      <c r="CW26" s="91"/>
      <c r="CX26" s="91"/>
    </row>
    <row r="27" spans="2:102" s="112" customFormat="1" ht="15.75" customHeight="1">
      <c r="B27" s="217" t="str">
        <f>IF($H$15="Imperial",                                      IF($H$19="SC-44","Stone Above Chambers (min. 12 inches; max. 144 inches)",                  "Stone Above Chambers (min. 6 inches; max. 192 inches)"),                            IF($H$19="SC-44",        "Stone Above Chambers (min. 300 mm; max. 3660 mm)",          "Stone Above Chambers (min. 150 mm; 4880 mm max.)"))</f>
        <v>Stone Above Chambers (min. 6 inches; max. 192 inches)</v>
      </c>
      <c r="C27" s="218"/>
      <c r="D27" s="218"/>
      <c r="E27" s="218"/>
      <c r="F27" s="218"/>
      <c r="G27" s="16"/>
      <c r="H27" s="308">
        <v>6</v>
      </c>
      <c r="I27" s="309"/>
      <c r="J27" s="16"/>
      <c r="K27" s="17" t="str">
        <f>IF($H$15="Imperial",           "in",          "mm")</f>
        <v>in</v>
      </c>
      <c r="L27" s="19"/>
      <c r="N27" s="20"/>
      <c r="O27" s="272" t="str">
        <f>IF(H37=1,     "LAYER 1",        IF(H37=2,               "LAYER 2",               "LAYER 3"))</f>
        <v>LAYER 2</v>
      </c>
      <c r="P27" s="272"/>
      <c r="Q27" s="271" t="str">
        <f>IF(U29=0,        "This system has too few chambers. We suggest using only 1 layer",     "")</f>
        <v/>
      </c>
      <c r="R27" s="271"/>
      <c r="S27" s="271"/>
      <c r="T27" s="271"/>
      <c r="U27" s="271"/>
      <c r="V27" s="271"/>
      <c r="W27" s="271"/>
      <c r="X27" s="271"/>
      <c r="Y27" s="271"/>
      <c r="Z27" s="132"/>
      <c r="AA27" s="132"/>
      <c r="AB27" s="19"/>
      <c r="AC27" s="7"/>
      <c r="AD27" s="289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2"/>
      <c r="AT27" s="7"/>
      <c r="AU27" s="318"/>
      <c r="AV27" s="324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41">
        <f>BH19+BH23+AZ23</f>
        <v>161.74955555555556</v>
      </c>
      <c r="BI27" s="324"/>
      <c r="BJ27" s="324"/>
      <c r="BK27" s="392" t="s">
        <v>196</v>
      </c>
      <c r="BL27" s="392">
        <f>BL13+BL17+BL21+BL25</f>
        <v>6</v>
      </c>
      <c r="BM27" s="392">
        <f t="shared" ref="BM27:BO27" si="0">BM13+BM17+BM21+BM25</f>
        <v>312.45666666666671</v>
      </c>
      <c r="BN27" s="392">
        <f t="shared" si="0"/>
        <v>459.90000000000003</v>
      </c>
      <c r="BO27" s="392">
        <f t="shared" si="0"/>
        <v>772.3566666666668</v>
      </c>
      <c r="BP27" s="318"/>
      <c r="BQ27" s="390"/>
      <c r="BR27" s="390"/>
      <c r="BS27" s="390"/>
      <c r="BT27" s="382"/>
      <c r="BU27" s="382"/>
      <c r="BV27" s="382"/>
      <c r="BW27" s="382"/>
      <c r="BX27" s="358"/>
      <c r="BY27" s="390"/>
      <c r="BZ27" s="390"/>
      <c r="CA27" s="390"/>
      <c r="CB27" s="337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91"/>
      <c r="CQ27" s="91"/>
      <c r="CR27" s="91"/>
      <c r="CS27" s="91"/>
      <c r="CT27" s="91"/>
      <c r="CU27" s="91"/>
      <c r="CV27" s="91"/>
      <c r="CW27" s="91"/>
      <c r="CX27" s="91"/>
    </row>
    <row r="28" spans="2:102" s="112" customFormat="1" ht="4.5" customHeight="1">
      <c r="B28" s="137"/>
      <c r="C28" s="200"/>
      <c r="D28" s="200"/>
      <c r="E28" s="200"/>
      <c r="F28" s="200"/>
      <c r="G28" s="16"/>
      <c r="H28" s="130"/>
      <c r="I28" s="130"/>
      <c r="J28" s="16"/>
      <c r="K28" s="18"/>
      <c r="L28" s="19"/>
      <c r="N28" s="20"/>
      <c r="O28" s="114"/>
      <c r="P28" s="114"/>
      <c r="Q28" s="114"/>
      <c r="R28" s="114"/>
      <c r="S28" s="114"/>
      <c r="T28" s="114"/>
      <c r="U28" s="114"/>
      <c r="V28" s="114"/>
      <c r="W28" s="114"/>
      <c r="X28" s="161"/>
      <c r="Y28" s="132"/>
      <c r="Z28" s="132"/>
      <c r="AA28" s="132"/>
      <c r="AB28" s="19"/>
      <c r="AC28" s="7"/>
      <c r="AD28" s="289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2"/>
      <c r="AT28" s="7"/>
      <c r="AU28" s="318"/>
      <c r="AV28" s="324"/>
      <c r="AW28" s="383"/>
      <c r="AX28" s="383"/>
      <c r="AY28" s="383"/>
      <c r="AZ28" s="383"/>
      <c r="BA28" s="383"/>
      <c r="BB28" s="383"/>
      <c r="BC28" s="383"/>
      <c r="BD28" s="383"/>
      <c r="BE28" s="384"/>
      <c r="BF28" s="384"/>
      <c r="BG28" s="384"/>
      <c r="BH28" s="313"/>
      <c r="BI28" s="388"/>
      <c r="BJ28" s="324"/>
      <c r="BK28" s="376"/>
      <c r="BL28" s="376"/>
      <c r="BM28" s="376"/>
      <c r="BN28" s="376"/>
      <c r="BO28" s="376"/>
      <c r="BP28" s="318"/>
      <c r="BQ28" s="343">
        <f>IF($H$37=1,       $H$17,                 IF($H$37=2,      $H$17-BO96,               IF($H$37=3,       $H$17-BO96-BO152,        0)))</f>
        <v>709.64616666666666</v>
      </c>
      <c r="BR28" s="343">
        <f>BO33</f>
        <v>3</v>
      </c>
      <c r="BS28" s="343">
        <f>IF(BR28=1,       1,        2)</f>
        <v>2</v>
      </c>
      <c r="BT28" s="358">
        <f>IF(BR28&lt;3,      0,        BR28-2)</f>
        <v>1</v>
      </c>
      <c r="BU28" s="358">
        <f>IF(BR28=1,   IF(BQ28&lt;=AZ13,   AZ13,     IF(H15="Imperial",       BB53+((((H55-4.5)*AZ47*(AY51+H55))/1728)*(H33/100)),        BB53+((((H55-115)*AZ47*(AY51+H55))/1000000000)*(H33/100)))),                                                                                                                                                                                                                                                            IF(BQ28&lt;=BD13,                BD13,               2*BB53))</f>
        <v>263.04250000000002</v>
      </c>
      <c r="BV28" s="358"/>
      <c r="BW28" s="358">
        <f>IF(BT28=0,            0,                BT28*BC53)</f>
        <v>123.13583333333335</v>
      </c>
      <c r="BX28" s="358"/>
      <c r="BY28" s="390" t="str">
        <f>IF(BS2=1,      "Maximum Number of Rows",                 "Minimum Number of Rows")</f>
        <v>Minimum Number of Rows</v>
      </c>
      <c r="BZ28" s="390"/>
      <c r="CA28" s="382" t="str">
        <f>IF(BS2=1,             "N/A",                "Maximum Number of Chambers per Full Row")</f>
        <v>Maximum Number of Chambers per Full Row</v>
      </c>
      <c r="CB28" s="33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91"/>
      <c r="CQ28" s="91"/>
      <c r="CR28" s="91"/>
      <c r="CS28" s="91"/>
      <c r="CT28" s="91"/>
      <c r="CU28" s="91"/>
      <c r="CV28" s="91"/>
      <c r="CW28" s="91"/>
      <c r="CX28" s="91"/>
    </row>
    <row r="29" spans="2:102" s="112" customFormat="1" ht="15.75" customHeight="1">
      <c r="B29" s="137"/>
      <c r="C29" s="218" t="str">
        <f>IF($H$15="Imperial",           IF($H$19="SC-44",            "Stone Below Chambers (min. 9 inches)",           "Stone Below Chambers (min. 6 inches)"),                                                             IF($H$19="SC-44",             "Stone Below Chambers (min. 225 mm)","Stone Below Chambers (min. 150 mm)"))</f>
        <v>Stone Below Chambers (min. 6 inches)</v>
      </c>
      <c r="D29" s="218"/>
      <c r="E29" s="218"/>
      <c r="F29" s="218"/>
      <c r="G29" s="16"/>
      <c r="H29" s="308">
        <v>6</v>
      </c>
      <c r="I29" s="309"/>
      <c r="J29" s="16"/>
      <c r="K29" s="130" t="str">
        <f>IF($H$15="Imperial","in","mm")</f>
        <v>in</v>
      </c>
      <c r="L29" s="19"/>
      <c r="N29" s="20"/>
      <c r="O29" s="22" t="s">
        <v>91</v>
      </c>
      <c r="P29" s="215">
        <f xml:space="preserve"> BO43</f>
        <v>17.5</v>
      </c>
      <c r="Q29" s="72" t="str">
        <f>IF(H$15="Imperial",    "ft",       "m")</f>
        <v>ft</v>
      </c>
      <c r="R29" s="221" t="s">
        <v>15</v>
      </c>
      <c r="S29" s="221"/>
      <c r="T29" s="18"/>
      <c r="U29" s="157">
        <f>IF(BQ12=0,      0,           IF(BO39="yes",          BT61,        BT57))</f>
        <v>3</v>
      </c>
      <c r="V29" s="16" t="s">
        <v>16</v>
      </c>
      <c r="W29" s="16"/>
      <c r="X29" s="23">
        <f>IF(BQ12=0,        0,         IF(BO39="yes",         BT63,       BT65))</f>
        <v>2</v>
      </c>
      <c r="Y29" s="16" t="s">
        <v>17</v>
      </c>
      <c r="Z29" s="16"/>
      <c r="AA29" s="126"/>
      <c r="AB29" s="19"/>
      <c r="AC29" s="7"/>
      <c r="AD29" s="289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2"/>
      <c r="AT29" s="7"/>
      <c r="AU29" s="318"/>
      <c r="AV29" s="324"/>
      <c r="AW29" s="373" t="s">
        <v>191</v>
      </c>
      <c r="AX29" s="372" t="s">
        <v>174</v>
      </c>
      <c r="AY29" s="372"/>
      <c r="AZ29" s="372"/>
      <c r="BA29" s="339" t="s">
        <v>176</v>
      </c>
      <c r="BB29" s="339"/>
      <c r="BC29" s="339"/>
      <c r="BD29" s="339"/>
      <c r="BE29" s="340" t="s">
        <v>177</v>
      </c>
      <c r="BF29" s="340"/>
      <c r="BG29" s="340"/>
      <c r="BH29" s="341" t="s">
        <v>194</v>
      </c>
      <c r="BI29" s="388"/>
      <c r="BJ29" s="324"/>
      <c r="BK29" s="376"/>
      <c r="BL29" s="376"/>
      <c r="BM29" s="376"/>
      <c r="BN29" s="376"/>
      <c r="BO29" s="376"/>
      <c r="BP29" s="393"/>
      <c r="BQ29" s="343"/>
      <c r="BR29" s="343"/>
      <c r="BS29" s="343"/>
      <c r="BT29" s="358"/>
      <c r="BU29" s="358"/>
      <c r="BV29" s="358"/>
      <c r="BW29" s="358"/>
      <c r="BX29" s="358"/>
      <c r="BY29" s="390"/>
      <c r="BZ29" s="390"/>
      <c r="CA29" s="382"/>
      <c r="CB29" s="337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91"/>
      <c r="CQ29" s="91"/>
      <c r="CR29" s="91"/>
      <c r="CS29" s="91"/>
      <c r="CT29" s="91"/>
      <c r="CU29" s="91"/>
      <c r="CV29" s="91"/>
      <c r="CW29" s="91"/>
      <c r="CX29" s="91"/>
    </row>
    <row r="30" spans="2:102" s="112" customFormat="1" ht="4.5" customHeight="1">
      <c r="B30" s="137"/>
      <c r="C30" s="200"/>
      <c r="D30" s="200"/>
      <c r="E30" s="200"/>
      <c r="F30" s="200"/>
      <c r="G30" s="16"/>
      <c r="H30" s="130"/>
      <c r="I30" s="130"/>
      <c r="J30" s="16"/>
      <c r="K30" s="18"/>
      <c r="L30" s="19"/>
      <c r="N30" s="20"/>
      <c r="O30" s="16"/>
      <c r="P30" s="16"/>
      <c r="Q30" s="18"/>
      <c r="R30" s="16"/>
      <c r="S30" s="156"/>
      <c r="T30" s="16"/>
      <c r="U30" s="16"/>
      <c r="V30" s="16"/>
      <c r="W30" s="16"/>
      <c r="X30" s="16"/>
      <c r="Y30" s="16"/>
      <c r="Z30" s="16"/>
      <c r="AA30" s="126"/>
      <c r="AB30" s="19"/>
      <c r="AC30" s="7"/>
      <c r="AD30" s="289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2"/>
      <c r="AT30" s="7"/>
      <c r="AU30" s="318"/>
      <c r="AV30" s="324"/>
      <c r="AW30" s="373"/>
      <c r="AX30" s="372"/>
      <c r="AY30" s="372"/>
      <c r="AZ30" s="372"/>
      <c r="BA30" s="383"/>
      <c r="BB30" s="383"/>
      <c r="BC30" s="383"/>
      <c r="BD30" s="383"/>
      <c r="BE30" s="384"/>
      <c r="BF30" s="384"/>
      <c r="BG30" s="384"/>
      <c r="BH30" s="313"/>
      <c r="BI30" s="388"/>
      <c r="BJ30" s="324"/>
      <c r="BK30" s="394"/>
      <c r="BL30" s="386"/>
      <c r="BM30" s="383"/>
      <c r="BN30" s="324"/>
      <c r="BO30" s="324"/>
      <c r="BP30" s="318"/>
      <c r="BQ30" s="358" t="s">
        <v>125</v>
      </c>
      <c r="BR30" s="358"/>
      <c r="BS30" s="382" t="s">
        <v>115</v>
      </c>
      <c r="BT30" s="382" t="s">
        <v>116</v>
      </c>
      <c r="BU30" s="382"/>
      <c r="BV30" s="390" t="s">
        <v>117</v>
      </c>
      <c r="BW30" s="395"/>
      <c r="BX30" s="358"/>
      <c r="BY30" s="390"/>
      <c r="BZ30" s="390"/>
      <c r="CA30" s="382"/>
      <c r="CB30" s="337"/>
      <c r="CC30" s="60"/>
      <c r="CD30" s="60"/>
      <c r="CE30" s="61"/>
      <c r="CF30" s="61"/>
      <c r="CG30" s="61"/>
      <c r="CH30" s="61"/>
      <c r="CI30" s="61"/>
      <c r="CJ30" s="61"/>
      <c r="CK30" s="61"/>
      <c r="CL30" s="61"/>
      <c r="CM30" s="61"/>
      <c r="CN30" s="66"/>
      <c r="CO30" s="66"/>
      <c r="CP30" s="91"/>
      <c r="CQ30" s="91"/>
      <c r="CR30" s="91"/>
      <c r="CS30" s="91"/>
      <c r="CT30" s="91"/>
      <c r="CU30" s="91"/>
      <c r="CV30" s="91"/>
      <c r="CW30" s="91"/>
      <c r="CX30" s="91"/>
    </row>
    <row r="31" spans="2:102" s="112" customFormat="1" ht="15" customHeight="1">
      <c r="B31" s="217" t="str">
        <f>IF($H$15="Imperial",             IF($H$19="SC-44",        "Total Cover Over Chambers (min. 22 inches; max. 144 inches)",        "Total Cover Over Chambers (min. 18 inches; max. 192 inches)"),                   IF($H$19="SC-44",       "Total Cover Over Chambers (min. 550 mm; max. 3660 mm)","Total Cover Over Chambers (min. 450 mm; max. 4880 mm)"))</f>
        <v>Total Cover Over Chambers (min. 18 inches; max. 192 inches)</v>
      </c>
      <c r="C31" s="218"/>
      <c r="D31" s="218"/>
      <c r="E31" s="218"/>
      <c r="F31" s="218"/>
      <c r="G31" s="16"/>
      <c r="H31" s="308">
        <v>18</v>
      </c>
      <c r="I31" s="309"/>
      <c r="J31" s="16"/>
      <c r="K31" s="17" t="str">
        <f>IF($H$15="Imperial",           "in",          "mm")</f>
        <v>in</v>
      </c>
      <c r="L31" s="19"/>
      <c r="N31" s="20"/>
      <c r="O31" s="76" t="s">
        <v>89</v>
      </c>
      <c r="P31" s="77">
        <f>BO45</f>
        <v>18.5</v>
      </c>
      <c r="Q31" s="191" t="str">
        <f>IF(H$15="Imperial",    "ft",       "m")</f>
        <v>ft</v>
      </c>
      <c r="R31" s="222" t="s">
        <v>15</v>
      </c>
      <c r="S31" s="222"/>
      <c r="T31" s="167"/>
      <c r="U31" s="172">
        <f>IF(BO39="yes",      BT59,     0)</f>
        <v>0</v>
      </c>
      <c r="V31" s="42" t="s">
        <v>16</v>
      </c>
      <c r="W31" s="42"/>
      <c r="X31" s="78">
        <f>IF(BO39="yes",         BT65,            0)</f>
        <v>0</v>
      </c>
      <c r="Y31" s="42" t="s">
        <v>17</v>
      </c>
      <c r="Z31" s="42"/>
      <c r="AA31" s="210"/>
      <c r="AB31" s="19"/>
      <c r="AC31" s="7"/>
      <c r="AD31" s="289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2"/>
      <c r="AT31" s="7"/>
      <c r="AU31" s="318"/>
      <c r="AV31" s="324"/>
      <c r="AW31" s="373"/>
      <c r="AX31" s="346" t="s">
        <v>172</v>
      </c>
      <c r="AY31" s="346"/>
      <c r="AZ31" s="362">
        <f>IF(H15="Imperial",             (((((AZ5+12)*(AY77+H55+4.5)*AZ75)/1728)-AZ7)*(H33/100)),                    (((((AZ5+H55)*(AY77+H55+115)*AZ75)/1000000000)-AZ7)*(H33/100)))</f>
        <v>-33.295999999999999</v>
      </c>
      <c r="BA31" s="346" t="s">
        <v>172</v>
      </c>
      <c r="BB31" s="346"/>
      <c r="BC31" s="346"/>
      <c r="BD31" s="362">
        <f>2*AZ31</f>
        <v>-66.591999999999999</v>
      </c>
      <c r="BE31" s="363" t="s">
        <v>172</v>
      </c>
      <c r="BF31" s="364"/>
      <c r="BG31" s="362">
        <f>2*BB79</f>
        <v>91.98</v>
      </c>
      <c r="BH31" s="341" t="s">
        <v>192</v>
      </c>
      <c r="BI31" s="388"/>
      <c r="BJ31" s="324"/>
      <c r="BK31" s="396" t="str">
        <f>IF($H$23=1,    "Max suggested number of rows",     "Min suggested number of rows")</f>
        <v>Min suggested number of rows</v>
      </c>
      <c r="BL31" s="396"/>
      <c r="BM31" s="396"/>
      <c r="BN31" s="396"/>
      <c r="BO31" s="335">
        <f>IF(BS2=1,      BX12,    BU20)</f>
        <v>3</v>
      </c>
      <c r="BP31" s="318"/>
      <c r="BQ31" s="358"/>
      <c r="BR31" s="358"/>
      <c r="BS31" s="382"/>
      <c r="BT31" s="382"/>
      <c r="BU31" s="382"/>
      <c r="BV31" s="395"/>
      <c r="BW31" s="395"/>
      <c r="BX31" s="358"/>
      <c r="BY31" s="390"/>
      <c r="BZ31" s="390"/>
      <c r="CA31" s="382"/>
      <c r="CB31" s="337"/>
      <c r="CC31" s="60"/>
      <c r="CD31" s="60"/>
      <c r="CE31" s="61"/>
      <c r="CF31" s="61"/>
      <c r="CG31" s="61"/>
      <c r="CH31" s="61"/>
      <c r="CI31" s="61"/>
      <c r="CJ31" s="61"/>
      <c r="CK31" s="61"/>
      <c r="CL31" s="61"/>
      <c r="CM31" s="61"/>
      <c r="CN31" s="66"/>
      <c r="CO31" s="66"/>
      <c r="CP31" s="91"/>
      <c r="CQ31" s="91"/>
      <c r="CR31" s="91"/>
      <c r="CS31" s="91"/>
      <c r="CT31" s="91"/>
      <c r="CU31" s="91"/>
      <c r="CV31" s="91"/>
      <c r="CW31" s="91"/>
      <c r="CX31" s="91"/>
    </row>
    <row r="32" spans="2:102" s="112" customFormat="1" ht="4.5" customHeight="1">
      <c r="B32" s="137"/>
      <c r="C32" s="200"/>
      <c r="D32" s="200"/>
      <c r="E32" s="200"/>
      <c r="F32" s="200"/>
      <c r="G32" s="16"/>
      <c r="H32" s="130"/>
      <c r="I32" s="130"/>
      <c r="J32" s="16"/>
      <c r="K32" s="130"/>
      <c r="L32" s="19"/>
      <c r="N32" s="20"/>
      <c r="O32" s="16"/>
      <c r="P32" s="16"/>
      <c r="Q32" s="18"/>
      <c r="R32" s="18"/>
      <c r="S32" s="214"/>
      <c r="T32" s="18"/>
      <c r="U32" s="119"/>
      <c r="V32" s="16"/>
      <c r="W32" s="16"/>
      <c r="X32" s="16"/>
      <c r="Y32" s="16"/>
      <c r="Z32" s="16"/>
      <c r="AA32" s="16"/>
      <c r="AB32" s="19"/>
      <c r="AC32" s="7"/>
      <c r="AD32" s="289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2"/>
      <c r="AT32" s="7"/>
      <c r="AU32" s="318"/>
      <c r="AV32" s="324"/>
      <c r="AW32" s="373"/>
      <c r="AX32" s="368"/>
      <c r="AY32" s="364"/>
      <c r="AZ32" s="362"/>
      <c r="BA32" s="350"/>
      <c r="BB32" s="317"/>
      <c r="BC32" s="369"/>
      <c r="BD32" s="362"/>
      <c r="BE32" s="368"/>
      <c r="BF32" s="364"/>
      <c r="BG32" s="362"/>
      <c r="BH32" s="341"/>
      <c r="BI32" s="388"/>
      <c r="BJ32" s="324"/>
      <c r="BK32" s="397"/>
      <c r="BL32" s="397"/>
      <c r="BM32" s="397"/>
      <c r="BN32" s="397"/>
      <c r="BO32" s="313"/>
      <c r="BP32" s="318"/>
      <c r="BQ32" s="358"/>
      <c r="BR32" s="358"/>
      <c r="BS32" s="382"/>
      <c r="BT32" s="382"/>
      <c r="BU32" s="382"/>
      <c r="BV32" s="395"/>
      <c r="BW32" s="395"/>
      <c r="BX32" s="358"/>
      <c r="BY32" s="343">
        <f>IF(BS2=1,            BX12,        BU20)</f>
        <v>3</v>
      </c>
      <c r="BZ32" s="343"/>
      <c r="CA32" s="378">
        <f>IF(BS2=1,         0,                             BX12)</f>
        <v>2</v>
      </c>
      <c r="CB32" s="337"/>
      <c r="CC32" s="101"/>
      <c r="CD32" s="101"/>
      <c r="CE32" s="66"/>
      <c r="CF32" s="66"/>
      <c r="CG32" s="93"/>
      <c r="CH32" s="93"/>
      <c r="CI32" s="93"/>
      <c r="CJ32" s="93"/>
      <c r="CK32" s="93"/>
      <c r="CL32" s="93"/>
      <c r="CM32" s="93"/>
      <c r="CN32" s="66"/>
      <c r="CO32" s="66"/>
      <c r="CP32" s="91"/>
      <c r="CQ32" s="91"/>
      <c r="CR32" s="91"/>
      <c r="CS32" s="91"/>
      <c r="CT32" s="91"/>
      <c r="CU32" s="91"/>
      <c r="CV32" s="91"/>
      <c r="CW32" s="91"/>
      <c r="CX32" s="91"/>
    </row>
    <row r="33" spans="2:102" s="112" customFormat="1" ht="15" customHeight="1">
      <c r="B33" s="137"/>
      <c r="C33" s="218" t="s">
        <v>206</v>
      </c>
      <c r="D33" s="218"/>
      <c r="E33" s="218"/>
      <c r="F33" s="218"/>
      <c r="G33" s="16"/>
      <c r="H33" s="308">
        <v>40</v>
      </c>
      <c r="I33" s="309"/>
      <c r="J33" s="16"/>
      <c r="K33" s="17" t="s">
        <v>3</v>
      </c>
      <c r="L33" s="19"/>
      <c r="N33" s="20"/>
      <c r="O33" s="73" t="s">
        <v>90</v>
      </c>
      <c r="P33" s="74">
        <f>IF(H37=1,         IF(H15="Imperial",    (AY47+H27+H29)/12,            (AY47+H27+H29)/1000),            IF(H15="Imperial",                (AY47+H27+(H39/2))/12,              (AY47+H27+(H39/2))/1000))</f>
        <v>3.8333333333333335</v>
      </c>
      <c r="Q33" s="72" t="str">
        <f>IF(H$15="Imperial",    "ft",       "m")</f>
        <v>ft</v>
      </c>
      <c r="R33" s="220" t="s">
        <v>159</v>
      </c>
      <c r="S33" s="220"/>
      <c r="T33" s="220"/>
      <c r="U33" s="220"/>
      <c r="V33" s="230">
        <f>BO41</f>
        <v>772.3566666666668</v>
      </c>
      <c r="W33" s="230"/>
      <c r="X33" s="230"/>
      <c r="Y33" s="83" t="str">
        <f>IF(H15="Imperial",        "Cubic Feet",        "Cubic Meters")</f>
        <v>Cubic Feet</v>
      </c>
      <c r="Z33" s="83"/>
      <c r="AA33" s="205"/>
      <c r="AB33" s="19"/>
      <c r="AC33" s="7"/>
      <c r="AD33" s="289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2"/>
      <c r="AT33" s="7"/>
      <c r="AU33" s="318"/>
      <c r="AV33" s="324"/>
      <c r="AW33" s="373"/>
      <c r="AX33" s="368" t="s">
        <v>173</v>
      </c>
      <c r="AY33" s="364"/>
      <c r="AZ33" s="362">
        <f>IF(H15="Imperial",                                     (((AZ77*H55*AZ75)/1728)*(H33/100))+((((H55-4.5)*(AZ5+H55+H55)*AZ75)/1728)*(H33/100)),                                                                                                                                            (((AZ77*H55*AZ75)/1000000000)*(H33/100))+((((H55-115)*(AZ5+H55+H55)*AZ75)/1000000000)*(H33/100)))</f>
        <v>0</v>
      </c>
      <c r="BA33" s="344" t="s">
        <v>173</v>
      </c>
      <c r="BB33" s="344"/>
      <c r="BC33" s="344"/>
      <c r="BD33" s="362">
        <f>IF(H15="Imperial",                2*(((AZ75*AZ77*H55)/1728)*(H33/100)),                            2*(((AZ75*AZ77*H55)/1000000000)*(H33/100)))</f>
        <v>0</v>
      </c>
      <c r="BE33" s="368" t="s">
        <v>173</v>
      </c>
      <c r="BF33" s="364"/>
      <c r="BG33" s="362">
        <f>IF(H15="Imperial",                      2*(((AZ75*(H55-4.5)*(AY78+H55))/1728)*(H33/100)),                      2*(((AZ75*(H55-115)*(AY78+H55))/1000000000)*(H33/100)))</f>
        <v>0</v>
      </c>
      <c r="BH33" s="341">
        <f>IF(H15="Imperial",           (((AZ75*(AY77+9)*(AZ5+H55))/1728)-AZ7)*(H54/100),                    (((AZ75*(AY77+225)*(AZ5+H55))/1000000000)-AZ7)*(H54/100))</f>
        <v>0</v>
      </c>
      <c r="BI33" s="388"/>
      <c r="BJ33" s="324"/>
      <c r="BK33" s="398" t="str">
        <f>IF(H37=1,      "Chosen number of rows",    "Default number of rows")</f>
        <v>Default number of rows</v>
      </c>
      <c r="BL33" s="398"/>
      <c r="BM33" s="398"/>
      <c r="BN33" s="398"/>
      <c r="BO33" s="388">
        <f>IF(H37=1,       H41,         IF(H37=2,           IF(BS2=1,       BX12,     BU20),              IF(BY12&lt;BX12,                    BY12,             BX12)))</f>
        <v>3</v>
      </c>
      <c r="BP33" s="318"/>
      <c r="BQ33" s="358"/>
      <c r="BR33" s="358"/>
      <c r="BS33" s="382"/>
      <c r="BT33" s="382"/>
      <c r="BU33" s="382"/>
      <c r="BV33" s="395"/>
      <c r="BW33" s="395"/>
      <c r="BX33" s="358"/>
      <c r="BY33" s="343"/>
      <c r="BZ33" s="343"/>
      <c r="CA33" s="378"/>
      <c r="CB33" s="337"/>
      <c r="CC33" s="101"/>
      <c r="CD33" s="101"/>
      <c r="CE33" s="66"/>
      <c r="CF33" s="66"/>
      <c r="CG33" s="93"/>
      <c r="CH33" s="93"/>
      <c r="CI33" s="93"/>
      <c r="CJ33" s="93"/>
      <c r="CK33" s="93"/>
      <c r="CL33" s="93"/>
      <c r="CM33" s="93"/>
      <c r="CN33" s="66"/>
      <c r="CO33" s="66"/>
      <c r="CP33" s="91"/>
      <c r="CQ33" s="91"/>
      <c r="CR33" s="91"/>
      <c r="CS33" s="91"/>
      <c r="CT33" s="91"/>
      <c r="CU33" s="91"/>
      <c r="CV33" s="91"/>
      <c r="CW33" s="91"/>
      <c r="CX33" s="91"/>
    </row>
    <row r="34" spans="2:102" s="112" customFormat="1" ht="4.5" customHeight="1">
      <c r="B34" s="137"/>
      <c r="C34" s="200"/>
      <c r="D34" s="200"/>
      <c r="E34" s="200"/>
      <c r="F34" s="200"/>
      <c r="G34" s="16"/>
      <c r="H34" s="130"/>
      <c r="I34" s="130"/>
      <c r="J34" s="16"/>
      <c r="K34" s="130"/>
      <c r="L34" s="19"/>
      <c r="N34" s="20"/>
      <c r="O34" s="22"/>
      <c r="P34" s="215"/>
      <c r="Q34" s="72"/>
      <c r="R34" s="72"/>
      <c r="S34" s="208"/>
      <c r="T34" s="171"/>
      <c r="U34" s="171"/>
      <c r="V34" s="25"/>
      <c r="W34" s="25"/>
      <c r="X34" s="26"/>
      <c r="Y34" s="25"/>
      <c r="Z34" s="25"/>
      <c r="AA34" s="16"/>
      <c r="AB34" s="19"/>
      <c r="AC34" s="7"/>
      <c r="AD34" s="289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2"/>
      <c r="AT34" s="7"/>
      <c r="AU34" s="318"/>
      <c r="AV34" s="324"/>
      <c r="AW34" s="373"/>
      <c r="AX34" s="364"/>
      <c r="AY34" s="364"/>
      <c r="AZ34" s="362"/>
      <c r="BA34" s="364"/>
      <c r="BB34" s="313"/>
      <c r="BC34" s="364"/>
      <c r="BD34" s="362"/>
      <c r="BE34" s="364"/>
      <c r="BF34" s="364"/>
      <c r="BG34" s="362"/>
      <c r="BH34" s="341"/>
      <c r="BI34" s="388"/>
      <c r="BJ34" s="324"/>
      <c r="BK34" s="399"/>
      <c r="BL34" s="399"/>
      <c r="BM34" s="399"/>
      <c r="BN34" s="400"/>
      <c r="BO34" s="388"/>
      <c r="BP34" s="318"/>
      <c r="BQ34" s="358"/>
      <c r="BR34" s="358"/>
      <c r="BS34" s="343">
        <f>IF(BS2=1,          IF(BR28=1,         IF(BQ28&lt;=AZ13,       1,        2),          IF(BR28=2,                     IF(BQ28&lt;=BD13,             1,           2),                                            IF(H15="Imperial",                                                                                                                                                                                   IF(BQ28&lt;=((2*(BB53+(((AZ47*AZ49*H55)/1728)*(H33/100))))+(BT28*(BC53+(((BA47*BA49*H55)/1728)*(H33/100))))),       1,       2),                                                                                                                                     IF(BQ28&lt;=((2*(BB53+(((AZ47*AZ49*H55)/1000000000)*(H33/100))))+(BT28*(BC53+(((BA47*BA49*H55)/1000000000)*(H33/100))))),       1,       2)))),         IF(BX12=1,        1,    2))</f>
        <v>2</v>
      </c>
      <c r="BT34" s="343">
        <f>IF(BQ28&lt;=(2*(BU28+BW28)),          0,               IF(H15="Imperial",           IF(BR28=1,                        ROUNDUP((BQ28-(2*BU28))/(BG53+((((H55-4.5)*BE47*BE51)/1728)*(H33/100))),0),                                                                                                                                         IF(BR28=2,             ROUNDUP((BQ28-(2*BU28))/(2*BG53),0),                 ROUNDUP((BQ28-(2*(BU28+BW28)))/((2*BG53)+(BT28*BH53)),0))),                                                                                                                                                                                                           IF(BR28=1,                        ROUNDUP((BQ28-(2*BU28))/(BG53+((((H55-115)*BE47*BE51)/1000000000)*(H33/100))),0),                                                                                                                                                             IF(BR28=2,                        ROUNDUP((BQ28-(2*BU28))/(2*BG53),0),             ROUNDUP((BQ28-(2*(BU28+BW28)))/((2*BG53)+(BT28*BH53)),0)))))</f>
        <v>0</v>
      </c>
      <c r="BU34" s="343"/>
      <c r="BV34" s="343">
        <f>BS34+BT34</f>
        <v>2</v>
      </c>
      <c r="BW34" s="343"/>
      <c r="BX34" s="358"/>
      <c r="BY34" s="390" t="s">
        <v>107</v>
      </c>
      <c r="BZ34" s="390"/>
      <c r="CA34" s="390"/>
      <c r="CB34" s="337"/>
      <c r="CC34" s="61"/>
      <c r="CD34" s="61"/>
      <c r="CE34" s="61"/>
      <c r="CF34" s="61"/>
      <c r="CG34" s="61"/>
      <c r="CH34" s="61"/>
      <c r="CI34" s="61"/>
      <c r="CJ34" s="61"/>
      <c r="CK34" s="93"/>
      <c r="CL34" s="93"/>
      <c r="CM34" s="93"/>
      <c r="CN34" s="66"/>
      <c r="CO34" s="66"/>
      <c r="CP34" s="91"/>
      <c r="CQ34" s="91"/>
      <c r="CR34" s="91"/>
      <c r="CS34" s="91"/>
      <c r="CT34" s="91"/>
      <c r="CU34" s="91"/>
      <c r="CV34" s="91"/>
      <c r="CW34" s="91"/>
      <c r="CX34" s="91"/>
    </row>
    <row r="35" spans="2:102" s="112" customFormat="1" ht="15" customHeight="1">
      <c r="B35" s="137"/>
      <c r="C35" s="119"/>
      <c r="D35" s="119"/>
      <c r="E35" s="119"/>
      <c r="F35" s="119"/>
      <c r="G35" s="114"/>
      <c r="H35" s="18"/>
      <c r="I35" s="18"/>
      <c r="J35" s="114"/>
      <c r="K35" s="114"/>
      <c r="L35" s="19"/>
      <c r="N35" s="20"/>
      <c r="O35" s="114"/>
      <c r="P35" s="114"/>
      <c r="Q35" s="114"/>
      <c r="R35" s="220" t="s">
        <v>211</v>
      </c>
      <c r="S35" s="220"/>
      <c r="T35" s="220"/>
      <c r="U35" s="220"/>
      <c r="V35" s="282">
        <f>(U29*X29)+(U31*X31)</f>
        <v>6</v>
      </c>
      <c r="W35" s="282"/>
      <c r="X35" s="282"/>
      <c r="Y35" s="114"/>
      <c r="Z35" s="114"/>
      <c r="AA35" s="16"/>
      <c r="AB35" s="19"/>
      <c r="AC35" s="7"/>
      <c r="AD35" s="289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2"/>
      <c r="AT35" s="7"/>
      <c r="AU35" s="318"/>
      <c r="AV35" s="324"/>
      <c r="AW35" s="373"/>
      <c r="AX35" s="379" t="s">
        <v>175</v>
      </c>
      <c r="AY35" s="379"/>
      <c r="AZ35" s="380">
        <f>AZ31+AZ33+AZ7</f>
        <v>49.943999999999996</v>
      </c>
      <c r="BA35" s="379" t="s">
        <v>175</v>
      </c>
      <c r="BB35" s="379"/>
      <c r="BC35" s="379"/>
      <c r="BD35" s="380">
        <f>BD31+BD33+BD7</f>
        <v>99.887999999999991</v>
      </c>
      <c r="BE35" s="379" t="s">
        <v>175</v>
      </c>
      <c r="BF35" s="379"/>
      <c r="BG35" s="380">
        <f>BG31+BG33</f>
        <v>91.98</v>
      </c>
      <c r="BH35" s="341" t="s">
        <v>193</v>
      </c>
      <c r="BI35" s="388"/>
      <c r="BJ35" s="324"/>
      <c r="BK35" s="398" t="str">
        <f>IF($H$23=1,       "Min number of chambers per full Row",      "Max number of chambers per Row")</f>
        <v>Max number of chambers per Row</v>
      </c>
      <c r="BL35" s="398"/>
      <c r="BM35" s="398"/>
      <c r="BN35" s="398"/>
      <c r="BO35" s="388">
        <f>IF(BW54=0,      BR54,        BV34)</f>
        <v>2</v>
      </c>
      <c r="BP35" s="313"/>
      <c r="BQ35" s="358"/>
      <c r="BR35" s="358"/>
      <c r="BS35" s="343"/>
      <c r="BT35" s="343"/>
      <c r="BU35" s="343"/>
      <c r="BV35" s="343"/>
      <c r="BW35" s="343"/>
      <c r="BX35" s="358"/>
      <c r="BY35" s="390"/>
      <c r="BZ35" s="390"/>
      <c r="CA35" s="390"/>
      <c r="CB35" s="337"/>
      <c r="CC35" s="61"/>
      <c r="CD35" s="61"/>
      <c r="CE35" s="61"/>
      <c r="CF35" s="61"/>
      <c r="CG35" s="61"/>
      <c r="CH35" s="61"/>
      <c r="CI35" s="61"/>
      <c r="CJ35" s="61"/>
      <c r="CK35" s="93"/>
      <c r="CL35" s="93"/>
      <c r="CM35" s="93"/>
      <c r="CN35" s="66"/>
      <c r="CO35" s="66"/>
      <c r="CP35" s="91"/>
      <c r="CQ35" s="91"/>
      <c r="CR35" s="91"/>
      <c r="CS35" s="91"/>
      <c r="CT35" s="91"/>
      <c r="CU35" s="91"/>
      <c r="CV35" s="91"/>
      <c r="CW35" s="91"/>
      <c r="CX35" s="91"/>
    </row>
    <row r="36" spans="2:102" s="112" customFormat="1" ht="4.5" customHeight="1">
      <c r="B36" s="143"/>
      <c r="C36" s="201"/>
      <c r="D36" s="201"/>
      <c r="E36" s="201"/>
      <c r="F36" s="201"/>
      <c r="G36" s="16"/>
      <c r="H36" s="130"/>
      <c r="I36" s="130"/>
      <c r="J36" s="16"/>
      <c r="K36" s="17"/>
      <c r="L36" s="19"/>
      <c r="N36" s="20"/>
      <c r="O36" s="114"/>
      <c r="P36" s="114"/>
      <c r="Q36" s="114"/>
      <c r="R36" s="18"/>
      <c r="S36" s="214"/>
      <c r="T36" s="18"/>
      <c r="U36" s="18"/>
      <c r="V36" s="119"/>
      <c r="W36" s="119"/>
      <c r="X36" s="119"/>
      <c r="Y36" s="16"/>
      <c r="Z36" s="16"/>
      <c r="AA36" s="16"/>
      <c r="AB36" s="19"/>
      <c r="AC36" s="7"/>
      <c r="AD36" s="289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2"/>
      <c r="AT36" s="7"/>
      <c r="AU36" s="318"/>
      <c r="AV36" s="324"/>
      <c r="AW36" s="349"/>
      <c r="AX36" s="349"/>
      <c r="AY36" s="349"/>
      <c r="AZ36" s="349"/>
      <c r="BA36" s="349"/>
      <c r="BB36" s="313"/>
      <c r="BC36" s="313"/>
      <c r="BD36" s="349"/>
      <c r="BE36" s="349"/>
      <c r="BF36" s="349"/>
      <c r="BG36" s="349"/>
      <c r="BH36" s="370"/>
      <c r="BI36" s="324"/>
      <c r="BJ36" s="324"/>
      <c r="BK36" s="399"/>
      <c r="BL36" s="399"/>
      <c r="BM36" s="399"/>
      <c r="BN36" s="400"/>
      <c r="BO36" s="388"/>
      <c r="BP36" s="318"/>
      <c r="BQ36" s="390" t="s">
        <v>126</v>
      </c>
      <c r="BR36" s="390" t="s">
        <v>127</v>
      </c>
      <c r="BS36" s="382" t="s">
        <v>129</v>
      </c>
      <c r="BT36" s="382" t="s">
        <v>128</v>
      </c>
      <c r="BU36" s="378"/>
      <c r="BV36" s="378"/>
      <c r="BW36" s="378"/>
      <c r="BX36" s="358"/>
      <c r="BY36" s="382" t="s">
        <v>108</v>
      </c>
      <c r="BZ36" s="382"/>
      <c r="CA36" s="401" t="s">
        <v>109</v>
      </c>
      <c r="CB36" s="337"/>
      <c r="CC36" s="63"/>
      <c r="CD36" s="63"/>
      <c r="CE36" s="63"/>
      <c r="CF36" s="63"/>
      <c r="CG36" s="63"/>
      <c r="CH36" s="63"/>
      <c r="CI36" s="63"/>
      <c r="CJ36" s="63"/>
      <c r="CK36" s="93"/>
      <c r="CL36" s="93"/>
      <c r="CM36" s="93"/>
      <c r="CN36" s="66"/>
      <c r="CO36" s="66"/>
      <c r="CP36" s="91"/>
      <c r="CQ36" s="91"/>
      <c r="CR36" s="91"/>
      <c r="CS36" s="91"/>
      <c r="CT36" s="91"/>
      <c r="CU36" s="91"/>
      <c r="CV36" s="91"/>
      <c r="CW36" s="91"/>
      <c r="CX36" s="91"/>
    </row>
    <row r="37" spans="2:102" s="112" customFormat="1" ht="15" customHeight="1">
      <c r="B37" s="143"/>
      <c r="C37" s="273" t="s">
        <v>201</v>
      </c>
      <c r="D37" s="273"/>
      <c r="E37" s="273"/>
      <c r="F37" s="273"/>
      <c r="G37" s="16"/>
      <c r="H37" s="308">
        <v>2</v>
      </c>
      <c r="I37" s="309"/>
      <c r="J37" s="16"/>
      <c r="K37" s="18"/>
      <c r="L37" s="19"/>
      <c r="N37" s="20"/>
      <c r="O37" s="75"/>
      <c r="P37" s="44"/>
      <c r="Q37" s="44"/>
      <c r="R37" s="44"/>
      <c r="S37" s="45"/>
      <c r="T37" s="44"/>
      <c r="U37" s="44"/>
      <c r="V37" s="44"/>
      <c r="W37" s="44"/>
      <c r="X37" s="44"/>
      <c r="Y37" s="44"/>
      <c r="Z37" s="44"/>
      <c r="AA37" s="44"/>
      <c r="AB37" s="19"/>
      <c r="AC37" s="7"/>
      <c r="AD37" s="289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2"/>
      <c r="AT37" s="7"/>
      <c r="AU37" s="318"/>
      <c r="AV37" s="324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341">
        <f>IF(H15="Imperial",                (((AZ75*(AY77+9)*H55)/1728)*(H54/100)),                     (((AZ75*(AY77+225)*H55)/1000000000)*(H54/100)))</f>
        <v>0</v>
      </c>
      <c r="BI37" s="388"/>
      <c r="BJ37" s="324"/>
      <c r="BK37" s="398" t="s">
        <v>42</v>
      </c>
      <c r="BL37" s="398"/>
      <c r="BM37" s="398"/>
      <c r="BN37" s="398"/>
      <c r="BO37" s="388">
        <f>BT59</f>
        <v>3</v>
      </c>
      <c r="BP37" s="318"/>
      <c r="BQ37" s="390"/>
      <c r="BR37" s="390"/>
      <c r="BS37" s="382"/>
      <c r="BT37" s="382"/>
      <c r="BU37" s="378"/>
      <c r="BV37" s="378"/>
      <c r="BW37" s="378"/>
      <c r="BX37" s="358"/>
      <c r="BY37" s="382"/>
      <c r="BZ37" s="382"/>
      <c r="CA37" s="401"/>
      <c r="CB37" s="337"/>
      <c r="CC37" s="63"/>
      <c r="CD37" s="63"/>
      <c r="CE37" s="63"/>
      <c r="CF37" s="63"/>
      <c r="CG37" s="63"/>
      <c r="CH37" s="63"/>
      <c r="CI37" s="63"/>
      <c r="CJ37" s="63"/>
      <c r="CK37" s="93"/>
      <c r="CL37" s="93"/>
      <c r="CM37" s="93"/>
      <c r="CN37" s="66"/>
      <c r="CO37" s="66"/>
      <c r="CP37" s="91"/>
      <c r="CQ37" s="91"/>
      <c r="CR37" s="91"/>
      <c r="CS37" s="91"/>
      <c r="CT37" s="91"/>
      <c r="CU37" s="91"/>
      <c r="CV37" s="91"/>
      <c r="CW37" s="91"/>
      <c r="CX37" s="91"/>
    </row>
    <row r="38" spans="2:102" s="112" customFormat="1" ht="4.5" customHeight="1">
      <c r="B38" s="143"/>
      <c r="C38" s="209"/>
      <c r="D38" s="209"/>
      <c r="E38" s="209"/>
      <c r="F38" s="209"/>
      <c r="G38" s="16"/>
      <c r="H38" s="18"/>
      <c r="I38" s="18"/>
      <c r="J38" s="16"/>
      <c r="K38" s="18"/>
      <c r="L38" s="19"/>
      <c r="N38" s="113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25"/>
      <c r="AB38" s="115"/>
      <c r="AC38" s="7"/>
      <c r="AD38" s="289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2"/>
      <c r="AT38" s="7"/>
      <c r="AU38" s="318"/>
      <c r="AV38" s="324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341"/>
      <c r="BI38" s="383"/>
      <c r="BJ38" s="324"/>
      <c r="BK38" s="399"/>
      <c r="BL38" s="399"/>
      <c r="BM38" s="399"/>
      <c r="BN38" s="400"/>
      <c r="BO38" s="388"/>
      <c r="BP38" s="318"/>
      <c r="BQ38" s="390"/>
      <c r="BR38" s="390"/>
      <c r="BS38" s="382"/>
      <c r="BT38" s="382"/>
      <c r="BU38" s="378"/>
      <c r="BV38" s="378"/>
      <c r="BW38" s="378"/>
      <c r="BX38" s="358"/>
      <c r="BY38" s="382"/>
      <c r="BZ38" s="382"/>
      <c r="CA38" s="401"/>
      <c r="CB38" s="337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6"/>
      <c r="CO38" s="66"/>
      <c r="CP38" s="91"/>
      <c r="CQ38" s="91"/>
      <c r="CR38" s="91"/>
      <c r="CS38" s="91"/>
      <c r="CT38" s="91"/>
      <c r="CU38" s="91"/>
      <c r="CV38" s="91"/>
      <c r="CW38" s="91"/>
      <c r="CX38" s="91"/>
    </row>
    <row r="39" spans="2:102" s="112" customFormat="1" ht="15" customHeight="1">
      <c r="B39" s="143"/>
      <c r="C39" s="273" t="str">
        <f>IF(H15="Imperial","Space Between each Layer (min. 12 Inches)","Space Between each Layer (min. 300mm)")</f>
        <v>Space Between each Layer (min. 12 Inches)</v>
      </c>
      <c r="D39" s="273"/>
      <c r="E39" s="273"/>
      <c r="F39" s="273"/>
      <c r="G39" s="16"/>
      <c r="H39" s="310">
        <v>12</v>
      </c>
      <c r="I39" s="311"/>
      <c r="J39" s="16"/>
      <c r="K39" s="130" t="str">
        <f>IF($H$15="Imperial","in","mm")</f>
        <v>in</v>
      </c>
      <c r="L39" s="19"/>
      <c r="N39" s="113"/>
      <c r="O39" s="278" t="str">
        <f>IF(H37=1,           "NO LAYER",              IF(H37=2,              "LAYER 1",             "LAYER 2"))</f>
        <v>LAYER 1</v>
      </c>
      <c r="P39" s="278"/>
      <c r="Q39" s="271" t="str">
        <f>IF(U29=0,        "",             IF(H37&gt;1,            IF(U29=0,        "",          IF(AND(U41=0,     U53=0),            "This system has too few chambers. We suggest using only 1 layer",                                                                    IF(AND(U53&gt;0,U41=0),               "This layer has no chambers to make room for the SedimenTrap",        ""))),           ""))</f>
        <v/>
      </c>
      <c r="R39" s="271"/>
      <c r="S39" s="271"/>
      <c r="T39" s="271"/>
      <c r="U39" s="271"/>
      <c r="V39" s="271"/>
      <c r="W39" s="271"/>
      <c r="X39" s="271"/>
      <c r="Y39" s="271"/>
      <c r="Z39" s="205"/>
      <c r="AA39" s="114"/>
      <c r="AB39" s="115"/>
      <c r="AC39" s="7"/>
      <c r="AD39" s="289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2"/>
      <c r="AT39" s="7"/>
      <c r="AU39" s="318"/>
      <c r="AV39" s="324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341" t="s">
        <v>175</v>
      </c>
      <c r="BI39" s="383"/>
      <c r="BJ39" s="324"/>
      <c r="BK39" s="402" t="s">
        <v>141</v>
      </c>
      <c r="BL39" s="402"/>
      <c r="BM39" s="402"/>
      <c r="BN39" s="402"/>
      <c r="BO39" s="335" t="str">
        <f>IF(BO33=1,    "no",     IF(BO35=1,      "no",       IF(BT61=0,          "no",          "yes")))</f>
        <v>no</v>
      </c>
      <c r="BP39" s="318"/>
      <c r="BQ39" s="390"/>
      <c r="BR39" s="390"/>
      <c r="BS39" s="382"/>
      <c r="BT39" s="382"/>
      <c r="BU39" s="378"/>
      <c r="BV39" s="378"/>
      <c r="BW39" s="378"/>
      <c r="BX39" s="358"/>
      <c r="BY39" s="382"/>
      <c r="BZ39" s="382"/>
      <c r="CA39" s="401"/>
      <c r="CB39" s="337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6"/>
      <c r="CO39" s="66"/>
      <c r="CP39" s="91"/>
      <c r="CQ39" s="91"/>
      <c r="CR39" s="91"/>
      <c r="CS39" s="91"/>
      <c r="CT39" s="91"/>
      <c r="CU39" s="91"/>
      <c r="CV39" s="91"/>
      <c r="CW39" s="91"/>
      <c r="CX39" s="91"/>
    </row>
    <row r="40" spans="2:102" s="112" customFormat="1" ht="3.75" customHeight="1">
      <c r="B40" s="143"/>
      <c r="C40" s="141"/>
      <c r="D40" s="141"/>
      <c r="E40" s="141"/>
      <c r="F40" s="141"/>
      <c r="G40" s="16"/>
      <c r="H40" s="18"/>
      <c r="I40" s="18"/>
      <c r="J40" s="16"/>
      <c r="K40" s="130"/>
      <c r="L40" s="19"/>
      <c r="N40" s="20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9"/>
      <c r="AC40" s="7"/>
      <c r="AD40" s="289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2"/>
      <c r="AT40" s="7"/>
      <c r="AU40" s="318"/>
      <c r="AV40" s="324"/>
      <c r="AW40" s="349"/>
      <c r="AX40" s="349"/>
      <c r="AY40" s="349"/>
      <c r="AZ40" s="349"/>
      <c r="BA40" s="349"/>
      <c r="BB40" s="313"/>
      <c r="BC40" s="313"/>
      <c r="BD40" s="349"/>
      <c r="BE40" s="349"/>
      <c r="BF40" s="349"/>
      <c r="BG40" s="349"/>
      <c r="BH40" s="341"/>
      <c r="BI40" s="376"/>
      <c r="BJ40" s="324"/>
      <c r="BK40" s="403"/>
      <c r="BL40" s="403"/>
      <c r="BM40" s="404"/>
      <c r="BN40" s="400"/>
      <c r="BO40" s="324"/>
      <c r="BP40" s="318"/>
      <c r="BQ40" s="378">
        <f>IF(H15="Imperial",   IF(BR28=1,  IF(BV34=1,   AZ13,   IF(BV34=2,   BG13,  (2*(BB53+((((H55-4.5)*AZ47*AZ51)/1728)*(H33/100))))+(BT34*(BG53+((((H55-4.5)*BE47*BE51)/1728)*(H33/100)))))),                                                                              IF(BV34=1,                   BB53+(((AZ47*H55*AZ49)/1728)*(H33/100)),                      IF(BV34=2,                2*BB53,                 (2*BB53)+(BT34*BG53)))),                                                                                                                  IF(BR28=1,   IF(BV34=1,     AZ13,     IF(BV34=2,    BG13,     (2*(BB53+((((H55-115)*AZ47*AZ51)/1000000000)*(H33/100))))+(BT34*(BG53+((((H55-115)*BE47*BE51)/1000000000)*(H33/100)))))),                                                                              IF(BV34=1,                BB53+(((AZ47*H55*AZ49)/1000000000)*(H33/100)),              IF(BV34=2,       2*BB53,              (2*BB53)+(BT34*BG53)))))</f>
        <v>263.04250000000002</v>
      </c>
      <c r="BR40" s="378">
        <f>IF(BT28=0,          0,                IF(BV34=1,                   BH15,                      IF(BV34=2,                           2*BC53,                         (2*BC53)+(BT34*BH53))))</f>
        <v>246.2716666666667</v>
      </c>
      <c r="BS40" s="378">
        <f>IF(BR28=1,     1,        IF(BR28=2,        ROUNDDOWN((BQ28/BQ40),0),                           (ROUNDDOWN((BQ28-(2*BQ40))/BR40,0))+2))</f>
        <v>2</v>
      </c>
      <c r="BT40" s="378">
        <f>IF(BR28&lt;3,            0,                ROUNDDOWN((BQ28-(2*BQ40))/BR40,0))</f>
        <v>0</v>
      </c>
      <c r="BU40" s="378"/>
      <c r="BV40" s="378"/>
      <c r="BW40" s="378"/>
      <c r="BX40" s="358"/>
      <c r="BY40" s="343">
        <f>IF(H37=OR(1,3),                    H41,          IF(BS2=1,                 BX12,        BU20))</f>
        <v>3</v>
      </c>
      <c r="BZ40" s="343"/>
      <c r="CA40" s="378">
        <f>BV34</f>
        <v>2</v>
      </c>
      <c r="CB40" s="337"/>
      <c r="CC40" s="63"/>
      <c r="CD40" s="63"/>
      <c r="CE40" s="63"/>
      <c r="CF40" s="63"/>
      <c r="CG40" s="63"/>
      <c r="CH40" s="63"/>
      <c r="CI40" s="63"/>
      <c r="CJ40" s="63"/>
      <c r="CK40" s="62"/>
      <c r="CL40" s="62"/>
      <c r="CM40" s="62"/>
      <c r="CN40" s="66"/>
      <c r="CO40" s="66"/>
      <c r="CP40" s="91"/>
      <c r="CQ40" s="91"/>
      <c r="CR40" s="91"/>
      <c r="CS40" s="91"/>
      <c r="CT40" s="91"/>
      <c r="CU40" s="91"/>
      <c r="CV40" s="91"/>
      <c r="CW40" s="91"/>
      <c r="CX40" s="91"/>
    </row>
    <row r="41" spans="2:102" s="112" customFormat="1" ht="15" customHeight="1">
      <c r="B41" s="143"/>
      <c r="C41" s="273" t="str">
        <f>IF(H37=1,"Number of Rows Desired","Number of Rows Desired in Bottom Layer")</f>
        <v>Number of Rows Desired in Bottom Layer</v>
      </c>
      <c r="D41" s="273"/>
      <c r="E41" s="273"/>
      <c r="F41" s="273"/>
      <c r="G41" s="16"/>
      <c r="H41" s="310">
        <v>4</v>
      </c>
      <c r="I41" s="311"/>
      <c r="J41" s="16"/>
      <c r="K41" s="130"/>
      <c r="L41" s="19"/>
      <c r="N41" s="20"/>
      <c r="O41" s="27" t="s">
        <v>91</v>
      </c>
      <c r="P41" s="216">
        <f>IF(H37=1,           0,       BO97)</f>
        <v>10.416666666666666</v>
      </c>
      <c r="Q41" s="173" t="str">
        <f>IF(H$15="Imperial",    "ft",       "m")</f>
        <v>ft</v>
      </c>
      <c r="R41" s="223" t="s">
        <v>15</v>
      </c>
      <c r="S41" s="223"/>
      <c r="T41" s="25"/>
      <c r="U41" s="25">
        <f>IF(H37=1,              0,           IF(BO95="no",             BT114,          IF(BT117=0,        BT115,       BT116)))</f>
        <v>2</v>
      </c>
      <c r="V41" s="25" t="s">
        <v>16</v>
      </c>
      <c r="W41" s="25"/>
      <c r="X41" s="26">
        <f>IF(U41=0,        0,          IF(BO95="no",         BT118,       IF(BT117=0,         BT118,         BT117)))</f>
        <v>1</v>
      </c>
      <c r="Y41" s="25" t="s">
        <v>17</v>
      </c>
      <c r="Z41" s="25"/>
      <c r="AA41" s="205"/>
      <c r="AB41" s="19"/>
      <c r="AC41" s="7"/>
      <c r="AD41" s="289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2"/>
      <c r="AT41" s="7"/>
      <c r="AU41" s="318"/>
      <c r="AV41" s="324"/>
      <c r="AW41" s="405" t="str">
        <f>IF($H$15="Imperial","Imperial","Metric")</f>
        <v>Imperial</v>
      </c>
      <c r="AX41" s="405"/>
      <c r="AY41" s="313">
        <f>119.76+60.08</f>
        <v>179.84</v>
      </c>
      <c r="AZ41" s="313"/>
      <c r="BA41" s="313"/>
      <c r="BB41" s="313">
        <f>((AZ47*(AZ49+6)*6)/1728)*0.4</f>
        <v>5.2708333333333339</v>
      </c>
      <c r="BC41" s="313">
        <f>(((H55-4.5)*AZ47*AY51)/1728)*0.4</f>
        <v>7.427083333333333</v>
      </c>
      <c r="BD41" s="313">
        <f>((((H55-4.5)*BE47*BD51))/1728)*0.4</f>
        <v>7.1076388888888893</v>
      </c>
      <c r="BE41" s="313"/>
      <c r="BF41" s="313"/>
      <c r="BG41" s="313">
        <f>BD53+BE53</f>
        <v>116.50791666666666</v>
      </c>
      <c r="BH41" s="341">
        <f>BH33+BH37+AZ35</f>
        <v>49.943999999999996</v>
      </c>
      <c r="BI41" s="376"/>
      <c r="BJ41" s="324"/>
      <c r="BK41" s="402" t="s">
        <v>160</v>
      </c>
      <c r="BL41" s="402"/>
      <c r="BM41" s="402"/>
      <c r="BN41" s="402"/>
      <c r="BO41" s="406">
        <f>BO13+BO17+BO21+BO25</f>
        <v>772.3566666666668</v>
      </c>
      <c r="BP41" s="407"/>
      <c r="BQ41" s="378"/>
      <c r="BR41" s="378"/>
      <c r="BS41" s="378"/>
      <c r="BT41" s="378"/>
      <c r="BU41" s="378"/>
      <c r="BV41" s="378"/>
      <c r="BW41" s="378"/>
      <c r="BX41" s="358"/>
      <c r="BY41" s="343"/>
      <c r="BZ41" s="343"/>
      <c r="CA41" s="378"/>
      <c r="CB41" s="337"/>
      <c r="CC41" s="63"/>
      <c r="CD41" s="63"/>
      <c r="CE41" s="63"/>
      <c r="CF41" s="63"/>
      <c r="CG41" s="63"/>
      <c r="CH41" s="63"/>
      <c r="CI41" s="63"/>
      <c r="CJ41" s="62"/>
      <c r="CK41" s="62"/>
      <c r="CL41" s="62"/>
      <c r="CM41" s="66"/>
      <c r="CN41" s="66"/>
      <c r="CO41" s="91"/>
      <c r="CP41" s="91"/>
      <c r="CQ41" s="91"/>
      <c r="CR41" s="91"/>
      <c r="CS41" s="91"/>
      <c r="CT41" s="91"/>
      <c r="CU41" s="91"/>
      <c r="CV41" s="91"/>
      <c r="CW41" s="91"/>
      <c r="CX41" s="91"/>
    </row>
    <row r="42" spans="2:102" s="112" customFormat="1" ht="5.25" customHeight="1">
      <c r="B42" s="120"/>
      <c r="C42" s="121"/>
      <c r="D42" s="121"/>
      <c r="E42" s="121"/>
      <c r="F42" s="121"/>
      <c r="G42" s="34"/>
      <c r="H42" s="35"/>
      <c r="I42" s="35"/>
      <c r="J42" s="34"/>
      <c r="K42" s="35"/>
      <c r="L42" s="19"/>
      <c r="N42" s="20"/>
      <c r="O42" s="114"/>
      <c r="P42" s="114"/>
      <c r="Q42" s="18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9"/>
      <c r="AC42" s="7"/>
      <c r="AD42" s="289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2"/>
      <c r="AT42" s="7"/>
      <c r="AU42" s="318"/>
      <c r="AV42" s="324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76"/>
      <c r="BJ42" s="324"/>
      <c r="BK42" s="408"/>
      <c r="BL42" s="404"/>
      <c r="BM42" s="404"/>
      <c r="BN42" s="404"/>
      <c r="BO42" s="391"/>
      <c r="BP42" s="407"/>
      <c r="BQ42" s="382" t="s">
        <v>131</v>
      </c>
      <c r="BR42" s="382" t="s">
        <v>118</v>
      </c>
      <c r="BS42" s="382" t="s">
        <v>119</v>
      </c>
      <c r="BT42" s="382" t="s">
        <v>120</v>
      </c>
      <c r="BU42" s="382"/>
      <c r="BV42" s="343"/>
      <c r="BW42" s="395"/>
      <c r="BX42" s="358"/>
      <c r="BY42" s="390" t="s">
        <v>42</v>
      </c>
      <c r="BZ42" s="390"/>
      <c r="CA42" s="382" t="str">
        <f>IF(BQ46=0,         "N/A",      "Number of chambers in short row")</f>
        <v>Number of chambers in short row</v>
      </c>
      <c r="CB42" s="337"/>
      <c r="CC42" s="61"/>
      <c r="CD42" s="61"/>
      <c r="CE42" s="61"/>
      <c r="CF42" s="61"/>
      <c r="CG42" s="61"/>
      <c r="CH42" s="61"/>
      <c r="CI42" s="61"/>
      <c r="CJ42" s="62"/>
      <c r="CK42" s="62"/>
      <c r="CL42" s="62"/>
      <c r="CM42" s="66"/>
      <c r="CN42" s="66"/>
      <c r="CO42" s="91"/>
      <c r="CP42" s="91"/>
      <c r="CQ42" s="91"/>
      <c r="CR42" s="91"/>
      <c r="CS42" s="91"/>
      <c r="CT42" s="91"/>
      <c r="CU42" s="91"/>
      <c r="CV42" s="91"/>
      <c r="CW42" s="91"/>
      <c r="CX42" s="91"/>
    </row>
    <row r="43" spans="2:102" s="112" customFormat="1" ht="15" customHeight="1">
      <c r="B43" s="274" t="str">
        <f>IF($H$23="Width","Maximum Number of Rows Based on Constraint Dimension","Minimum Number of Rows Based on Constraint Dimension")</f>
        <v>Maximum Number of Rows Based on Constraint Dimension</v>
      </c>
      <c r="C43" s="275"/>
      <c r="D43" s="275"/>
      <c r="E43" s="275"/>
      <c r="F43" s="275"/>
      <c r="G43" s="37"/>
      <c r="H43" s="281">
        <f>BW2</f>
        <v>8</v>
      </c>
      <c r="I43" s="281"/>
      <c r="J43" s="34"/>
      <c r="K43" s="35"/>
      <c r="L43" s="19"/>
      <c r="N43" s="20"/>
      <c r="O43" s="79" t="s">
        <v>89</v>
      </c>
      <c r="P43" s="80">
        <f>IF(H37=1,          0,     BO98)</f>
        <v>24.25</v>
      </c>
      <c r="Q43" s="192" t="str">
        <f>IF(H$15="Imperial",    "ft",       "m")</f>
        <v>ft</v>
      </c>
      <c r="R43" s="222" t="s">
        <v>15</v>
      </c>
      <c r="S43" s="222"/>
      <c r="T43" s="42"/>
      <c r="U43" s="78">
        <f>IF(H37=1,        0,          IF(BO95="no",       0,      IF(BT117=0,         0,        BT115)))</f>
        <v>0</v>
      </c>
      <c r="V43" s="42" t="s">
        <v>16</v>
      </c>
      <c r="W43" s="42"/>
      <c r="X43" s="78">
        <f>IF(U43=0,      0,     BT118)</f>
        <v>0</v>
      </c>
      <c r="Y43" s="42" t="s">
        <v>17</v>
      </c>
      <c r="Z43" s="42"/>
      <c r="AA43" s="114"/>
      <c r="AB43" s="19"/>
      <c r="AC43" s="7"/>
      <c r="AD43" s="289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2"/>
      <c r="AT43" s="7"/>
      <c r="AU43" s="318"/>
      <c r="AV43" s="324"/>
      <c r="AW43" s="409" t="str">
        <f>IF($H$37&lt;2,"All Chamber Layers","Top Chamber Layer")</f>
        <v>Top Chamber Layer</v>
      </c>
      <c r="AX43" s="409"/>
      <c r="AY43" s="409" t="s">
        <v>25</v>
      </c>
      <c r="AZ43" s="409"/>
      <c r="BA43" s="409"/>
      <c r="BB43" s="409"/>
      <c r="BC43" s="409"/>
      <c r="BD43" s="409" t="s">
        <v>24</v>
      </c>
      <c r="BE43" s="409"/>
      <c r="BF43" s="409"/>
      <c r="BG43" s="409"/>
      <c r="BH43" s="409"/>
      <c r="BI43" s="376"/>
      <c r="BJ43" s="324"/>
      <c r="BK43" s="410" t="s">
        <v>43</v>
      </c>
      <c r="BL43" s="410"/>
      <c r="BM43" s="410"/>
      <c r="BN43" s="410"/>
      <c r="BO43" s="386">
        <f>IF(H15="Imperial",      IF(BO35=1,            (AZ5+H55+H55)/12,                   IF(BO35=2,                   (2*AZ51)/12,                          (((BO35-2)*BE51)+(2*AZ51))/12)),                                                                                                                                                                                                            IF(BO35=1,                                                (AZ5+H55+H55)/1000,                  IF(BO35=2,                   (2*AZ51)/1000,                     (((BO35-2)*BE51)+(2*AZ51))/1000)))</f>
        <v>17.5</v>
      </c>
      <c r="BP43" s="407"/>
      <c r="BQ43" s="382"/>
      <c r="BR43" s="382"/>
      <c r="BS43" s="382"/>
      <c r="BT43" s="382"/>
      <c r="BU43" s="382"/>
      <c r="BV43" s="395"/>
      <c r="BW43" s="395"/>
      <c r="BX43" s="358"/>
      <c r="BY43" s="390"/>
      <c r="BZ43" s="390"/>
      <c r="CA43" s="382"/>
      <c r="CB43" s="337"/>
      <c r="CC43" s="61"/>
      <c r="CD43" s="61"/>
      <c r="CE43" s="61"/>
      <c r="CF43" s="61"/>
      <c r="CG43" s="61"/>
      <c r="CH43" s="61"/>
      <c r="CI43" s="61"/>
      <c r="CJ43" s="62"/>
      <c r="CK43" s="62"/>
      <c r="CL43" s="62"/>
      <c r="CM43" s="66"/>
      <c r="CN43" s="66"/>
      <c r="CO43" s="91"/>
      <c r="CP43" s="91"/>
      <c r="CQ43" s="91"/>
      <c r="CR43" s="91"/>
      <c r="CS43" s="91"/>
      <c r="CT43" s="91"/>
      <c r="CU43" s="91"/>
      <c r="CV43" s="91"/>
      <c r="CW43" s="91"/>
      <c r="CX43" s="91"/>
    </row>
    <row r="44" spans="2:102" s="112" customFormat="1" ht="4.5" customHeight="1">
      <c r="B44" s="143"/>
      <c r="C44" s="201"/>
      <c r="D44" s="201"/>
      <c r="E44" s="201"/>
      <c r="F44" s="201"/>
      <c r="G44" s="16"/>
      <c r="H44" s="130"/>
      <c r="I44" s="130"/>
      <c r="J44" s="16"/>
      <c r="K44" s="17"/>
      <c r="L44" s="19"/>
      <c r="N44" s="20"/>
      <c r="O44" s="114"/>
      <c r="P44" s="114"/>
      <c r="Q44" s="18"/>
      <c r="R44" s="18"/>
      <c r="S44" s="208"/>
      <c r="T44" s="25"/>
      <c r="U44" s="25"/>
      <c r="V44" s="25"/>
      <c r="W44" s="25"/>
      <c r="X44" s="25"/>
      <c r="Y44" s="25"/>
      <c r="Z44" s="25"/>
      <c r="AA44" s="25"/>
      <c r="AB44" s="19"/>
      <c r="AC44" s="7"/>
      <c r="AD44" s="289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2"/>
      <c r="AT44" s="7"/>
      <c r="AU44" s="318"/>
      <c r="AV44" s="324"/>
      <c r="AW44" s="411"/>
      <c r="AX44" s="411"/>
      <c r="AY44" s="339" t="s">
        <v>8</v>
      </c>
      <c r="AZ44" s="373" t="s">
        <v>20</v>
      </c>
      <c r="BA44" s="373" t="s">
        <v>22</v>
      </c>
      <c r="BB44" s="373" t="s">
        <v>21</v>
      </c>
      <c r="BC44" s="373" t="s">
        <v>23</v>
      </c>
      <c r="BD44" s="339" t="s">
        <v>8</v>
      </c>
      <c r="BE44" s="373" t="s">
        <v>20</v>
      </c>
      <c r="BF44" s="373" t="s">
        <v>22</v>
      </c>
      <c r="BG44" s="373" t="s">
        <v>21</v>
      </c>
      <c r="BH44" s="373" t="s">
        <v>23</v>
      </c>
      <c r="BI44" s="376"/>
      <c r="BJ44" s="324"/>
      <c r="BK44" s="408"/>
      <c r="BL44" s="404"/>
      <c r="BM44" s="404"/>
      <c r="BN44" s="404"/>
      <c r="BO44" s="391"/>
      <c r="BP44" s="325"/>
      <c r="BQ44" s="382"/>
      <c r="BR44" s="382"/>
      <c r="BS44" s="382"/>
      <c r="BT44" s="382"/>
      <c r="BU44" s="382"/>
      <c r="BV44" s="395"/>
      <c r="BW44" s="395"/>
      <c r="BX44" s="358"/>
      <c r="BY44" s="390"/>
      <c r="BZ44" s="390"/>
      <c r="CA44" s="382"/>
      <c r="CB44" s="337"/>
      <c r="CC44" s="63"/>
      <c r="CD44" s="63"/>
      <c r="CE44" s="63"/>
      <c r="CF44" s="63"/>
      <c r="CG44" s="63"/>
      <c r="CH44" s="63"/>
      <c r="CI44" s="63"/>
      <c r="CJ44" s="62"/>
      <c r="CK44" s="62"/>
      <c r="CL44" s="62"/>
      <c r="CM44" s="66"/>
      <c r="CN44" s="66"/>
      <c r="CO44" s="91"/>
      <c r="CP44" s="91"/>
      <c r="CQ44" s="91"/>
      <c r="CR44" s="91"/>
      <c r="CS44" s="91"/>
      <c r="CT44" s="91"/>
      <c r="CU44" s="91"/>
      <c r="CV44" s="91"/>
      <c r="CW44" s="91"/>
      <c r="CX44" s="91"/>
    </row>
    <row r="45" spans="2:102" s="112" customFormat="1" ht="15.75" customHeight="1">
      <c r="B45" s="143"/>
      <c r="C45" s="273" t="str">
        <f>IF(H15="Imperial","Space Between Each Row (min. 9 inches)","Space Between Each Row (min. 225mm)")</f>
        <v>Space Between Each Row (min. 9 inches)</v>
      </c>
      <c r="D45" s="273"/>
      <c r="E45" s="273"/>
      <c r="F45" s="273"/>
      <c r="G45" s="114"/>
      <c r="H45" s="310">
        <v>9</v>
      </c>
      <c r="I45" s="311"/>
      <c r="J45" s="114"/>
      <c r="K45" s="130" t="str">
        <f>IF($H$15="Imperial","in","mm")</f>
        <v>in</v>
      </c>
      <c r="L45" s="19"/>
      <c r="N45" s="20"/>
      <c r="O45" s="28" t="s">
        <v>90</v>
      </c>
      <c r="P45" s="216">
        <f>IF(H37=1,       0,      IF(H37=2,              IF(H15="Imperial",           (AY61+H29+(H39/2))/12,          (AY61+H29+(H39/2))/1000),         IF(H15="Imperial",                 (AY61+H39)/12,              (AY61+H39)/1000)))</f>
        <v>3.8333333333333335</v>
      </c>
      <c r="Q45" s="173" t="str">
        <f>IF(H$15="Imperial",    "ft",       "m")</f>
        <v>ft</v>
      </c>
      <c r="R45" s="224" t="s">
        <v>159</v>
      </c>
      <c r="S45" s="224"/>
      <c r="T45" s="224"/>
      <c r="U45" s="224"/>
      <c r="V45" s="279">
        <f>BO96</f>
        <v>290.35383333333334</v>
      </c>
      <c r="W45" s="279"/>
      <c r="X45" s="279"/>
      <c r="Y45" s="25" t="str">
        <f>IF(H15="Imperial",       "Cubic Feet",     "Cubic Meters")</f>
        <v>Cubic Feet</v>
      </c>
      <c r="Z45" s="25"/>
      <c r="AA45" s="25"/>
      <c r="AB45" s="19"/>
      <c r="AC45" s="7"/>
      <c r="AD45" s="289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2"/>
      <c r="AT45" s="7"/>
      <c r="AU45" s="318"/>
      <c r="AV45" s="324"/>
      <c r="AW45" s="412" t="str">
        <f>$H$19</f>
        <v>SC-34W</v>
      </c>
      <c r="AX45" s="325"/>
      <c r="AY45" s="339"/>
      <c r="AZ45" s="373"/>
      <c r="BA45" s="373"/>
      <c r="BB45" s="373"/>
      <c r="BC45" s="373"/>
      <c r="BD45" s="339"/>
      <c r="BE45" s="373"/>
      <c r="BF45" s="373"/>
      <c r="BG45" s="373"/>
      <c r="BH45" s="373"/>
      <c r="BI45" s="383"/>
      <c r="BJ45" s="324"/>
      <c r="BK45" s="410" t="s">
        <v>44</v>
      </c>
      <c r="BL45" s="410"/>
      <c r="BM45" s="410"/>
      <c r="BN45" s="410"/>
      <c r="BO45" s="381">
        <f>IF(H15="Imperial",                IF(BO33=1,                    (AZ49+H55-4.5)/12,                            IF(BO33=2,             (2*AZ49)/12,                     (((BO33-2)*BA49)+(2*AZ49))/12)),                                                                             IF(BO33=1,                                                                  (AZ49+H55-115)/1000,                            IF(BO33=2,             (2*AZ49)/1000,                (((BO33-2)*BA49)+(2*AZ49))/1000)))</f>
        <v>18.5</v>
      </c>
      <c r="BP45" s="325"/>
      <c r="BQ45" s="382"/>
      <c r="BR45" s="382"/>
      <c r="BS45" s="382"/>
      <c r="BT45" s="382"/>
      <c r="BU45" s="382"/>
      <c r="BV45" s="395"/>
      <c r="BW45" s="395"/>
      <c r="BX45" s="358"/>
      <c r="BY45" s="390"/>
      <c r="BZ45" s="390"/>
      <c r="CA45" s="382"/>
      <c r="CB45" s="337"/>
      <c r="CC45" s="63"/>
      <c r="CD45" s="91"/>
      <c r="CE45" s="91"/>
      <c r="CF45" s="91"/>
      <c r="CG45" s="63"/>
      <c r="CH45" s="63"/>
      <c r="CI45" s="63"/>
      <c r="CJ45" s="62"/>
      <c r="CK45" s="62"/>
      <c r="CL45" s="62"/>
      <c r="CM45" s="66"/>
      <c r="CN45" s="66"/>
      <c r="CO45" s="91"/>
      <c r="CP45" s="91"/>
      <c r="CQ45" s="91"/>
      <c r="CR45" s="91"/>
      <c r="CS45" s="91"/>
      <c r="CT45" s="91"/>
      <c r="CU45" s="91"/>
      <c r="CV45" s="91"/>
      <c r="CW45" s="91"/>
      <c r="CX45" s="91"/>
    </row>
    <row r="46" spans="2:102" s="112" customFormat="1" ht="3.75" customHeight="1">
      <c r="B46" s="143"/>
      <c r="C46" s="209"/>
      <c r="D46" s="209"/>
      <c r="E46" s="209"/>
      <c r="F46" s="209"/>
      <c r="G46" s="16"/>
      <c r="H46" s="18"/>
      <c r="I46" s="18"/>
      <c r="J46" s="16"/>
      <c r="K46" s="18"/>
      <c r="L46" s="19"/>
      <c r="N46" s="20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25"/>
      <c r="AB46" s="19"/>
      <c r="AC46" s="7"/>
      <c r="AD46" s="289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2"/>
      <c r="AT46" s="8"/>
      <c r="AU46" s="318"/>
      <c r="AV46" s="324"/>
      <c r="AW46" s="412"/>
      <c r="AX46" s="325"/>
      <c r="AY46" s="339"/>
      <c r="AZ46" s="373"/>
      <c r="BA46" s="373"/>
      <c r="BB46" s="373"/>
      <c r="BC46" s="373"/>
      <c r="BD46" s="339"/>
      <c r="BE46" s="373"/>
      <c r="BF46" s="373"/>
      <c r="BG46" s="373"/>
      <c r="BH46" s="373"/>
      <c r="BI46" s="383"/>
      <c r="BJ46" s="324"/>
      <c r="BK46" s="413"/>
      <c r="BL46" s="413"/>
      <c r="BM46" s="413"/>
      <c r="BN46" s="413"/>
      <c r="BO46" s="391"/>
      <c r="BP46" s="325"/>
      <c r="BQ46" s="358">
        <f>IF(BR28=1,        0,          IF(BR28=2,                    BQ28-BQ40,                BQ28-(2*BQ40)-(BT40*BR40)))</f>
        <v>183.56116666666662</v>
      </c>
      <c r="BR46" s="358">
        <f>IF(BR28=1,   0,  IF(H15="Imperial",   IF(BR28=2,    IF(BQ46&lt;=(BB53+(((H55*AZ47*AZ49)/1728)*(H33/100))),    1,   2),     IF(BQ46&lt;=(BC53+(((H55*BA47*BA49)/1728)*(H33/100))),    1,    2)),                       IF(BR28=2,             IF(BQ46&lt;=(BB53+((((H55)*AZ47*AZ49)/1000000000)*(H33/100))),      1,       2),                   IF(BQ46&lt;=(BC53+(((H55*BA47*BA49)/1000000000)*(H33/100))),      1,      2))))</f>
        <v>2</v>
      </c>
      <c r="BS46" s="358">
        <f>IF(BR28=1,       0,         IF(BR28=2,           IF(BQ46&lt;=(2*BB53),        0,           ROUNDUP((BQ46-(2*BB53))/BG53,0)),           IF(BQ46&lt;=(2*BC53),        0,          ROUNDUP((BQ46-(2*BC53))/BH53,0))))</f>
        <v>0</v>
      </c>
      <c r="BT46" s="358">
        <f>BR46+BS46</f>
        <v>2</v>
      </c>
      <c r="BU46" s="358"/>
      <c r="BV46" s="395"/>
      <c r="BW46" s="395"/>
      <c r="BX46" s="358"/>
      <c r="BY46" s="358">
        <f>IF(BO33=1,          BV34,       IF(BV34=BT46,        BR28,                 BS40))</f>
        <v>3</v>
      </c>
      <c r="BZ46" s="358"/>
      <c r="CA46" s="358">
        <f>IF(BY40=1,      0,            IF(BW54=0,       0,            CA40-1))</f>
        <v>1</v>
      </c>
      <c r="CB46" s="337"/>
      <c r="CC46" s="61"/>
      <c r="CD46" s="91"/>
      <c r="CE46" s="91"/>
      <c r="CF46" s="91"/>
      <c r="CG46" s="61"/>
      <c r="CH46" s="61"/>
      <c r="CI46" s="61"/>
      <c r="CJ46" s="61"/>
      <c r="CK46" s="61"/>
      <c r="CL46" s="61"/>
      <c r="CM46" s="66"/>
      <c r="CN46" s="66"/>
      <c r="CO46" s="91"/>
      <c r="CP46" s="91"/>
      <c r="CQ46" s="91"/>
      <c r="CR46" s="91"/>
      <c r="CS46" s="91"/>
      <c r="CT46" s="91"/>
      <c r="CU46" s="91"/>
      <c r="CV46" s="91"/>
      <c r="CW46" s="91"/>
      <c r="CX46" s="91"/>
    </row>
    <row r="47" spans="2:102" s="112" customFormat="1" ht="15.75" customHeight="1">
      <c r="B47" s="143"/>
      <c r="C47" s="273" t="s">
        <v>207</v>
      </c>
      <c r="D47" s="273"/>
      <c r="E47" s="273"/>
      <c r="F47" s="273"/>
      <c r="G47" s="18"/>
      <c r="H47" s="310">
        <v>2</v>
      </c>
      <c r="I47" s="311"/>
      <c r="J47" s="114"/>
      <c r="K47" s="18"/>
      <c r="L47" s="19"/>
      <c r="N47" s="20"/>
      <c r="O47" s="114"/>
      <c r="P47" s="114"/>
      <c r="Q47" s="114"/>
      <c r="R47" s="224" t="s">
        <v>211</v>
      </c>
      <c r="S47" s="224"/>
      <c r="T47" s="224"/>
      <c r="U47" s="224"/>
      <c r="V47" s="283">
        <f>(U41*X41)+(U43*X43)</f>
        <v>2</v>
      </c>
      <c r="W47" s="283"/>
      <c r="X47" s="283"/>
      <c r="Y47" s="114"/>
      <c r="Z47" s="114"/>
      <c r="AA47" s="42"/>
      <c r="AB47" s="19"/>
      <c r="AC47" s="7"/>
      <c r="AD47" s="289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2"/>
      <c r="AT47" s="8"/>
      <c r="AU47" s="318"/>
      <c r="AV47" s="324"/>
      <c r="AW47" s="412"/>
      <c r="AX47" s="325" t="str">
        <f>IF($H$15="Imperial","Height (in)","Height (mm)")</f>
        <v>Height (in)</v>
      </c>
      <c r="AY47" s="325">
        <f>IF($H$15="Imperial",                  IF($H$19="SC-44",            44,            34),                    IF($H$19="SC-44",                  1117,              864))</f>
        <v>34</v>
      </c>
      <c r="AZ47" s="325">
        <f>IF($H$37=1,          AY47+$H$29+$H$27,           AY47+$H$27+($H$39/2))</f>
        <v>46</v>
      </c>
      <c r="BA47" s="325">
        <f>IF($H$37=1,         AY47+$H$29+$H$27,           AY47+$H$27+($H$39/2))</f>
        <v>46</v>
      </c>
      <c r="BB47" s="325"/>
      <c r="BC47" s="325"/>
      <c r="BD47" s="325">
        <f>IF($H$15="Imperial",         IF($H$19="SC-44",     44,     34),        IF($H$19="SC-44",      1117,   864))</f>
        <v>34</v>
      </c>
      <c r="BE47" s="325">
        <f>IF($H$37=1,       BD47+$H$29+$H$27,           BD47+$H$27+($H$39/2))</f>
        <v>46</v>
      </c>
      <c r="BF47" s="325">
        <f>IF($H$37=1,           BD47+$H$29+$H$27,         BD47+H27+($H$39/2))</f>
        <v>46</v>
      </c>
      <c r="BG47" s="407"/>
      <c r="BH47" s="325"/>
      <c r="BI47" s="376"/>
      <c r="BJ47" s="324"/>
      <c r="BK47" s="414"/>
      <c r="BL47" s="414"/>
      <c r="BM47" s="414"/>
      <c r="BN47" s="414"/>
      <c r="BO47" s="386"/>
      <c r="BP47" s="318"/>
      <c r="BQ47" s="358"/>
      <c r="BR47" s="358"/>
      <c r="BS47" s="358"/>
      <c r="BT47" s="358"/>
      <c r="BU47" s="358"/>
      <c r="BV47" s="395"/>
      <c r="BW47" s="395"/>
      <c r="BX47" s="358"/>
      <c r="BY47" s="358"/>
      <c r="BZ47" s="358"/>
      <c r="CA47" s="358"/>
      <c r="CB47" s="337"/>
      <c r="CC47" s="61"/>
      <c r="CD47" s="91"/>
      <c r="CE47" s="91"/>
      <c r="CF47" s="91"/>
      <c r="CG47" s="61"/>
      <c r="CH47" s="61"/>
      <c r="CI47" s="61"/>
      <c r="CJ47" s="61"/>
      <c r="CK47" s="61"/>
      <c r="CL47" s="61"/>
      <c r="CM47" s="66"/>
      <c r="CN47" s="66"/>
      <c r="CO47" s="91"/>
      <c r="CP47" s="91"/>
      <c r="CQ47" s="91"/>
      <c r="CR47" s="91"/>
      <c r="CS47" s="91"/>
      <c r="CT47" s="91"/>
      <c r="CU47" s="91"/>
      <c r="CV47" s="91"/>
      <c r="CW47" s="91"/>
      <c r="CX47" s="91"/>
    </row>
    <row r="48" spans="2:102" ht="3.75" customHeight="1">
      <c r="B48" s="143"/>
      <c r="C48" s="141"/>
      <c r="D48" s="141"/>
      <c r="E48" s="141"/>
      <c r="F48" s="141"/>
      <c r="G48" s="16"/>
      <c r="H48" s="18"/>
      <c r="I48" s="18"/>
      <c r="J48" s="16"/>
      <c r="K48" s="18"/>
      <c r="L48" s="19"/>
      <c r="M48" s="112"/>
      <c r="N48" s="113"/>
      <c r="O48" s="27"/>
      <c r="P48" s="216"/>
      <c r="Q48" s="160"/>
      <c r="R48" s="173"/>
      <c r="S48" s="208"/>
      <c r="T48" s="171"/>
      <c r="U48" s="174"/>
      <c r="V48" s="207"/>
      <c r="W48" s="207"/>
      <c r="X48" s="206"/>
      <c r="Y48" s="25"/>
      <c r="Z48" s="25"/>
      <c r="AA48" s="25"/>
      <c r="AB48" s="115"/>
      <c r="AC48" s="7"/>
      <c r="AD48" s="289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2"/>
      <c r="AT48" s="10"/>
      <c r="AU48" s="355"/>
      <c r="AV48" s="324"/>
      <c r="AW48" s="412"/>
      <c r="AX48" s="325"/>
      <c r="AY48" s="325"/>
      <c r="AZ48" s="325"/>
      <c r="BA48" s="325"/>
      <c r="BB48" s="325"/>
      <c r="BC48" s="325"/>
      <c r="BD48" s="325"/>
      <c r="BE48" s="325"/>
      <c r="BF48" s="325"/>
      <c r="BG48" s="407"/>
      <c r="BH48" s="325"/>
      <c r="BI48" s="376"/>
      <c r="BJ48" s="324"/>
      <c r="BK48" s="413"/>
      <c r="BL48" s="413"/>
      <c r="BM48" s="413"/>
      <c r="BN48" s="413"/>
      <c r="BO48" s="391"/>
      <c r="BP48" s="318"/>
      <c r="BQ48" s="378"/>
      <c r="BR48" s="378"/>
      <c r="BS48" s="378"/>
      <c r="BT48" s="378"/>
      <c r="BU48" s="378"/>
      <c r="BV48" s="378"/>
      <c r="BW48" s="378"/>
      <c r="BX48" s="378"/>
      <c r="BY48" s="415"/>
      <c r="BZ48" s="415"/>
      <c r="CA48" s="415"/>
      <c r="CB48" s="337"/>
      <c r="CC48" s="61"/>
      <c r="CG48" s="61"/>
      <c r="CH48" s="61"/>
      <c r="CI48" s="61"/>
      <c r="CJ48" s="61"/>
      <c r="CK48" s="61"/>
      <c r="CL48" s="61"/>
      <c r="CM48" s="66"/>
      <c r="CN48" s="66"/>
    </row>
    <row r="49" spans="2:92" ht="15" customHeight="1">
      <c r="B49" s="142"/>
      <c r="C49" s="275" t="s">
        <v>200</v>
      </c>
      <c r="D49" s="275"/>
      <c r="E49" s="275"/>
      <c r="F49" s="275"/>
      <c r="G49" s="37"/>
      <c r="H49" s="281">
        <f>IF(H15="Imperial",    IF(U31=0,       IF(X29&lt;4,    1,      IF(P29&gt;125,      3,      2)),     IF(X31&lt;4,       1,       IF(P29&gt;125,      3,       2))),                                                                                                                                             IF(U31=0,   IF(X29&lt;4,    1,      IF(P29&gt;38.1,      3,      2)),     IF(X31&lt;4,       1,       IF(P29&gt;38.1,      3,       2))))</f>
        <v>1</v>
      </c>
      <c r="I49" s="281"/>
      <c r="J49" s="114"/>
      <c r="K49" s="114"/>
      <c r="L49" s="19"/>
      <c r="M49" s="112"/>
      <c r="N49" s="113"/>
      <c r="O49" s="31"/>
      <c r="P49" s="31"/>
      <c r="Q49" s="31"/>
      <c r="R49" s="31"/>
      <c r="S49" s="30"/>
      <c r="T49" s="31"/>
      <c r="U49" s="31"/>
      <c r="V49" s="31"/>
      <c r="W49" s="31"/>
      <c r="X49" s="31"/>
      <c r="Y49" s="31"/>
      <c r="Z49" s="31"/>
      <c r="AA49" s="31"/>
      <c r="AB49" s="115"/>
      <c r="AC49" s="7"/>
      <c r="AD49" s="289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2"/>
      <c r="AT49" s="4"/>
      <c r="AU49" s="313"/>
      <c r="AV49" s="324"/>
      <c r="AW49" s="412"/>
      <c r="AX49" s="325" t="str">
        <f>IF($H$15="Imperial","Width (in)","Width (mm)")</f>
        <v>Width (in)</v>
      </c>
      <c r="AY49" s="325">
        <f>IF($H$15="Imperial",         IF($H$19="SC-44",       78,      60),        IF($H$19="SC-44",      1981,       1524))</f>
        <v>60</v>
      </c>
      <c r="AZ49" s="325">
        <f>IF(H15="Imperial",           AY49+($H$45/2)+H55,                 AY49+($H$45/2)+H55)</f>
        <v>76.5</v>
      </c>
      <c r="BA49" s="325">
        <f>AY49+$H$45</f>
        <v>69</v>
      </c>
      <c r="BB49" s="325"/>
      <c r="BC49" s="325"/>
      <c r="BD49" s="325">
        <f>IF($H$15="Imperial",         IF($H$19="SC-44",       78,       60),        IF($H$19="SC-44",      1981,       1524))</f>
        <v>60</v>
      </c>
      <c r="BE49" s="325">
        <f>IF(H15="Imperial",                 BD49+($H$45/2)+(H55),                 BD49+($H$45/2)+(H55))</f>
        <v>76.5</v>
      </c>
      <c r="BF49" s="325">
        <f>BD49+$H$45</f>
        <v>69</v>
      </c>
      <c r="BG49" s="407"/>
      <c r="BH49" s="325"/>
      <c r="BI49" s="376"/>
      <c r="BJ49" s="324"/>
      <c r="BK49" s="414">
        <f>(BL17+BL25)*0.27</f>
        <v>0</v>
      </c>
      <c r="BL49" s="414"/>
      <c r="BM49" s="414"/>
      <c r="BN49" s="414"/>
      <c r="BO49" s="388"/>
      <c r="BP49" s="318"/>
      <c r="BQ49" s="378"/>
      <c r="BR49" s="378"/>
      <c r="BS49" s="378"/>
      <c r="BT49" s="378"/>
      <c r="BU49" s="378"/>
      <c r="BV49" s="378"/>
      <c r="BW49" s="378"/>
      <c r="BX49" s="378"/>
      <c r="BY49" s="415"/>
      <c r="BZ49" s="415"/>
      <c r="CA49" s="415"/>
      <c r="CB49" s="337"/>
      <c r="CC49" s="63"/>
      <c r="CG49" s="63"/>
      <c r="CH49" s="63"/>
      <c r="CI49" s="63"/>
      <c r="CJ49" s="63"/>
      <c r="CK49" s="63"/>
      <c r="CL49" s="63"/>
      <c r="CM49" s="66"/>
      <c r="CN49" s="66"/>
    </row>
    <row r="50" spans="2:92" ht="4.5" customHeight="1">
      <c r="B50" s="142"/>
      <c r="C50" s="141"/>
      <c r="D50" s="141"/>
      <c r="E50" s="141"/>
      <c r="F50" s="141"/>
      <c r="G50" s="114"/>
      <c r="H50" s="18"/>
      <c r="I50" s="18"/>
      <c r="J50" s="114"/>
      <c r="K50" s="114"/>
      <c r="L50" s="19"/>
      <c r="M50" s="112"/>
      <c r="N50" s="20"/>
      <c r="O50" s="114"/>
      <c r="P50" s="114"/>
      <c r="Q50" s="114"/>
      <c r="R50" s="18"/>
      <c r="S50" s="18"/>
      <c r="T50" s="18"/>
      <c r="U50" s="18"/>
      <c r="V50" s="119"/>
      <c r="W50" s="119"/>
      <c r="X50" s="119"/>
      <c r="Y50" s="114"/>
      <c r="Z50" s="114"/>
      <c r="AA50" s="114"/>
      <c r="AB50" s="19"/>
      <c r="AC50" s="8"/>
      <c r="AD50" s="289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2"/>
      <c r="AT50" s="4"/>
      <c r="AU50" s="313"/>
      <c r="AV50" s="324"/>
      <c r="AW50" s="412"/>
      <c r="AX50" s="325"/>
      <c r="AY50" s="325"/>
      <c r="AZ50" s="325"/>
      <c r="BA50" s="325"/>
      <c r="BB50" s="325"/>
      <c r="BC50" s="325"/>
      <c r="BD50" s="325"/>
      <c r="BE50" s="325"/>
      <c r="BF50" s="325"/>
      <c r="BG50" s="407"/>
      <c r="BH50" s="325"/>
      <c r="BI50" s="376"/>
      <c r="BJ50" s="324"/>
      <c r="BK50" s="416"/>
      <c r="BL50" s="416"/>
      <c r="BM50" s="416"/>
      <c r="BN50" s="416"/>
      <c r="BO50" s="391"/>
      <c r="BP50" s="318"/>
      <c r="BQ50" s="382" t="s">
        <v>180</v>
      </c>
      <c r="BR50" s="382" t="s">
        <v>181</v>
      </c>
      <c r="BS50" s="382" t="s">
        <v>143</v>
      </c>
      <c r="BT50" s="382" t="s">
        <v>144</v>
      </c>
      <c r="BU50" s="382" t="s">
        <v>145</v>
      </c>
      <c r="BV50" s="382"/>
      <c r="BW50" s="390" t="s">
        <v>132</v>
      </c>
      <c r="BX50" s="324"/>
      <c r="BY50" s="415"/>
      <c r="BZ50" s="415"/>
      <c r="CA50" s="415"/>
      <c r="CB50" s="337"/>
      <c r="CG50" s="63"/>
      <c r="CH50" s="63"/>
      <c r="CI50" s="63"/>
      <c r="CJ50" s="63"/>
      <c r="CK50" s="63"/>
      <c r="CL50" s="63"/>
      <c r="CM50" s="66"/>
      <c r="CN50" s="66"/>
    </row>
    <row r="51" spans="2:92" ht="15" customHeight="1">
      <c r="B51" s="142"/>
      <c r="C51" s="296" t="s">
        <v>54</v>
      </c>
      <c r="D51" s="296"/>
      <c r="E51" s="296"/>
      <c r="F51" s="296"/>
      <c r="G51" s="18"/>
      <c r="H51" s="312" t="s">
        <v>103</v>
      </c>
      <c r="I51" s="311"/>
      <c r="J51" s="294"/>
      <c r="K51" s="295"/>
      <c r="L51" s="19"/>
      <c r="M51" s="112"/>
      <c r="N51" s="20"/>
      <c r="O51" s="278" t="str">
        <f>IF(H37&lt;3,            "NO LAYER",                "LAYER 1")</f>
        <v>NO LAYER</v>
      </c>
      <c r="P51" s="278"/>
      <c r="Q51" s="278"/>
      <c r="R51" s="278"/>
      <c r="S51" s="278"/>
      <c r="T51" s="114"/>
      <c r="U51" s="114"/>
      <c r="V51" s="114"/>
      <c r="W51" s="114"/>
      <c r="X51" s="114"/>
      <c r="Y51" s="114"/>
      <c r="Z51" s="114"/>
      <c r="AA51" s="114"/>
      <c r="AB51" s="19"/>
      <c r="AC51" s="8"/>
      <c r="AD51" s="289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90"/>
      <c r="AT51" s="4"/>
      <c r="AU51" s="313"/>
      <c r="AV51" s="324"/>
      <c r="AW51" s="412"/>
      <c r="AX51" s="325" t="str">
        <f>IF($H$15="Imperial","Installed Length (in)","Installed Length (mm)")</f>
        <v>Installed Length (in)</v>
      </c>
      <c r="AY51" s="325">
        <f>IF($H$15="Imperial",        IF($H$19="SC-44",         81,        IF($H$19="SC-34E",       97,      93)),            IF($H$19="SC-44",           2057.4,           IF($H$19="SC-34E",         2464,         2362)))</f>
        <v>93</v>
      </c>
      <c r="AZ51" s="325">
        <f>IF(H15="Imperial",          AY51+H55,             AY51+H55)</f>
        <v>105</v>
      </c>
      <c r="BA51" s="325">
        <f>IF(H15="Imperial",       AY51+H55,              AY51+H55)</f>
        <v>105</v>
      </c>
      <c r="BB51" s="325"/>
      <c r="BC51" s="325"/>
      <c r="BD51" s="325">
        <f>IF($H$15="Imperial",      IF($H$19="SC-44",         75,         IF($H$19="SC-34E",        91,       89)),        IF($H$19="SC-44",       1905,         IF($H$19="SC-34E",       2311,          2260)))</f>
        <v>89</v>
      </c>
      <c r="BE51" s="325">
        <f>BD51</f>
        <v>89</v>
      </c>
      <c r="BF51" s="325">
        <f>BD51</f>
        <v>89</v>
      </c>
      <c r="BG51" s="407"/>
      <c r="BH51" s="325"/>
      <c r="BI51" s="417"/>
      <c r="BJ51" s="324"/>
      <c r="BK51" s="418" t="s">
        <v>63</v>
      </c>
      <c r="BL51" s="419"/>
      <c r="BM51" s="419"/>
      <c r="BN51" s="419"/>
      <c r="BO51" s="406">
        <f>BL13+BL17+BL21+BL25</f>
        <v>6</v>
      </c>
      <c r="BP51" s="318"/>
      <c r="BQ51" s="382"/>
      <c r="BR51" s="382"/>
      <c r="BS51" s="382"/>
      <c r="BT51" s="382"/>
      <c r="BU51" s="382"/>
      <c r="BV51" s="382"/>
      <c r="BW51" s="390"/>
      <c r="BX51" s="324"/>
      <c r="BY51" s="415"/>
      <c r="BZ51" s="415"/>
      <c r="CA51" s="415"/>
      <c r="CB51" s="337"/>
      <c r="CG51" s="70"/>
      <c r="CH51" s="70"/>
      <c r="CI51" s="70"/>
      <c r="CJ51" s="70"/>
      <c r="CK51" s="70"/>
      <c r="CL51" s="70"/>
      <c r="CM51" s="70"/>
      <c r="CN51" s="70"/>
    </row>
    <row r="52" spans="2:92" ht="3.75" customHeight="1">
      <c r="B52" s="142"/>
      <c r="C52" s="141"/>
      <c r="D52" s="141"/>
      <c r="E52" s="141"/>
      <c r="F52" s="141"/>
      <c r="G52" s="114"/>
      <c r="H52" s="18"/>
      <c r="I52" s="18"/>
      <c r="J52" s="114"/>
      <c r="K52" s="114"/>
      <c r="L52" s="19"/>
      <c r="M52" s="112"/>
      <c r="N52" s="20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9"/>
      <c r="AC52" s="10"/>
      <c r="AD52" s="289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90"/>
      <c r="AT52" s="4"/>
      <c r="AU52" s="313"/>
      <c r="AV52" s="324"/>
      <c r="AW52" s="412"/>
      <c r="AX52" s="325"/>
      <c r="AY52" s="325"/>
      <c r="AZ52" s="325"/>
      <c r="BA52" s="325"/>
      <c r="BB52" s="325"/>
      <c r="BC52" s="325"/>
      <c r="BD52" s="325"/>
      <c r="BE52" s="325"/>
      <c r="BF52" s="325"/>
      <c r="BG52" s="407"/>
      <c r="BH52" s="325"/>
      <c r="BI52" s="383"/>
      <c r="BJ52" s="324"/>
      <c r="BK52" s="420"/>
      <c r="BL52" s="384"/>
      <c r="BM52" s="391"/>
      <c r="BN52" s="391"/>
      <c r="BO52" s="391"/>
      <c r="BP52" s="318"/>
      <c r="BQ52" s="382"/>
      <c r="BR52" s="382"/>
      <c r="BS52" s="382"/>
      <c r="BT52" s="382"/>
      <c r="BU52" s="382"/>
      <c r="BV52" s="382"/>
      <c r="BW52" s="390"/>
      <c r="BX52" s="324"/>
      <c r="BY52" s="415"/>
      <c r="BZ52" s="415"/>
      <c r="CA52" s="415"/>
      <c r="CB52" s="337"/>
    </row>
    <row r="53" spans="2:92" ht="15" customHeight="1">
      <c r="B53" s="142"/>
      <c r="C53" s="296" t="s">
        <v>58</v>
      </c>
      <c r="D53" s="296"/>
      <c r="E53" s="296"/>
      <c r="F53" s="296"/>
      <c r="G53" s="18"/>
      <c r="H53" s="306">
        <v>2</v>
      </c>
      <c r="I53" s="307"/>
      <c r="J53" s="114"/>
      <c r="K53" s="114"/>
      <c r="L53" s="19"/>
      <c r="M53" s="112"/>
      <c r="N53" s="20"/>
      <c r="O53" s="27" t="s">
        <v>91</v>
      </c>
      <c r="P53" s="216">
        <f>IF(H37&lt;3,        0,           BO153)</f>
        <v>0</v>
      </c>
      <c r="Q53" s="173" t="str">
        <f>IF(H$15="Imperial",    "ft",       "m")</f>
        <v>ft</v>
      </c>
      <c r="R53" s="223" t="s">
        <v>15</v>
      </c>
      <c r="S53" s="223"/>
      <c r="T53" s="25"/>
      <c r="U53" s="25">
        <f>BO149</f>
        <v>0</v>
      </c>
      <c r="V53" s="25" t="s">
        <v>16</v>
      </c>
      <c r="W53" s="25"/>
      <c r="X53" s="26">
        <f>BO150</f>
        <v>0</v>
      </c>
      <c r="Y53" s="25" t="s">
        <v>17</v>
      </c>
      <c r="Z53" s="25"/>
      <c r="AA53" s="25"/>
      <c r="AB53" s="19"/>
      <c r="AC53" s="4"/>
      <c r="AD53" s="289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2"/>
      <c r="AT53" s="4"/>
      <c r="AU53" s="313"/>
      <c r="AV53" s="324"/>
      <c r="AW53" s="412"/>
      <c r="AX53" s="325" t="str">
        <f>IF($H$15="Imperial","Storage Volume (ft²)","Storage Volume (m²)")</f>
        <v>Storage Volume (ft²)</v>
      </c>
      <c r="AY53" s="325">
        <f>IF($H$15="Imperial",            IF(H19="SC-44",       111.22,           IF(H21="SC-34E",        78.24,         76.65)),                          IF(H19="SC-44",         3.15,         IF(H19="SC-34E",        2.23,          2.17)))</f>
        <v>76.650000000000006</v>
      </c>
      <c r="AZ53" s="325">
        <f>IF($H$15="Imperial",               ((((AZ47*AZ49*AZ51)/1728)-AY53)*($H$33/100)),                         ((((AZ47*AZ49*AZ51)/1000000000)-AY53)*($H$33/100)))</f>
        <v>54.871250000000003</v>
      </c>
      <c r="BA53" s="325">
        <f>IF($H$15="Imperial",                 ((((BA47*BA49*BA51)/1728)-AY53)*($H$33/100)),           ((((BA47*BA49*BA51)/1000000000)-AY53)*($H$33/100)))</f>
        <v>46.485833333333339</v>
      </c>
      <c r="BB53" s="325">
        <f>AY53+AZ53</f>
        <v>131.52125000000001</v>
      </c>
      <c r="BC53" s="325">
        <f>AY53+BA53</f>
        <v>123.13583333333335</v>
      </c>
      <c r="BD53" s="325">
        <f>IF($H$15="Imperial",         IF(H19="SC-44",         105,         IF(H19="SC-34E",         75,         73.35)),              IF(H19="SC-44",        2.97,        IF(H19="SC-34E",        2.12,         2.08)))</f>
        <v>73.349999999999994</v>
      </c>
      <c r="BE53" s="325">
        <f>IF($H$15="Imperial",                     IF(H19="SC-44",             ((((BE47*BE49*BE51)/1728)-BD53)*($H$33/100)),                                      ((((BE47*BE49*BE51)/1728)-BD53)*($H$33/100))),                                                                     IF(H19="SC-44",                                                         ((((BE47*BE49*BE51)/1000000000)-BD53)*($H$33/100)),          ((((BE47*BE49*BE51)/1000000000)-BD53)*($H$33/100))))</f>
        <v>43.157916666666665</v>
      </c>
      <c r="BF53" s="325">
        <f>IF($H$15="Imperial",                  IF(H19="SC-44",                  ((((BF47*BF49*BF51)/1728)-BD53)*($H$33/100)),                                               ((((BF47*BF49*BF51)/1728)-BD53)*($H$33/100))),                                                                         IF(H19="SC-44",                                                           ((((BF47*BF49*BF51)/1000000000)-BD53)*($H$33/100)),                   ((((BF47*BF49*BF51)/1000000000)-BD53)*($H$33/100))))</f>
        <v>36.050277777777787</v>
      </c>
      <c r="BG53" s="325">
        <f>BD53+BE53</f>
        <v>116.50791666666666</v>
      </c>
      <c r="BH53" s="325">
        <f>BD53+BF53</f>
        <v>109.40027777777777</v>
      </c>
      <c r="BI53" s="313"/>
      <c r="BJ53" s="313"/>
      <c r="BK53" s="420"/>
      <c r="BL53" s="384"/>
      <c r="BM53" s="391"/>
      <c r="BN53" s="391"/>
      <c r="BO53" s="391"/>
      <c r="BP53" s="318"/>
      <c r="BQ53" s="382"/>
      <c r="BR53" s="382"/>
      <c r="BS53" s="382"/>
      <c r="BT53" s="382"/>
      <c r="BU53" s="382"/>
      <c r="BV53" s="382"/>
      <c r="BW53" s="390"/>
      <c r="BX53" s="324"/>
      <c r="BY53" s="415"/>
      <c r="BZ53" s="415"/>
      <c r="CA53" s="415"/>
      <c r="CB53" s="337"/>
    </row>
    <row r="54" spans="2:92" ht="3.75" customHeight="1">
      <c r="B54" s="142"/>
      <c r="C54" s="201"/>
      <c r="D54" s="201"/>
      <c r="E54" s="201"/>
      <c r="F54" s="201"/>
      <c r="G54" s="18"/>
      <c r="H54" s="40"/>
      <c r="I54" s="40"/>
      <c r="J54" s="114"/>
      <c r="K54" s="114"/>
      <c r="L54" s="36"/>
      <c r="M54" s="112"/>
      <c r="N54" s="20"/>
      <c r="O54" s="25"/>
      <c r="P54" s="25"/>
      <c r="Q54" s="171"/>
      <c r="R54" s="25"/>
      <c r="S54" s="24"/>
      <c r="T54" s="25"/>
      <c r="U54" s="25"/>
      <c r="V54" s="25"/>
      <c r="W54" s="25"/>
      <c r="X54" s="25"/>
      <c r="Y54" s="25"/>
      <c r="Z54" s="25"/>
      <c r="AA54" s="25"/>
      <c r="AB54" s="19"/>
      <c r="AC54" s="4"/>
      <c r="AD54" s="289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2"/>
      <c r="AT54" s="4"/>
      <c r="AU54" s="313"/>
      <c r="AV54" s="324"/>
      <c r="AW54" s="412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13"/>
      <c r="BJ54" s="313"/>
      <c r="BK54" s="420"/>
      <c r="BL54" s="384"/>
      <c r="BM54" s="391"/>
      <c r="BN54" s="391"/>
      <c r="BO54" s="391"/>
      <c r="BP54" s="318"/>
      <c r="BQ54" s="378">
        <f>IF(BR28=1,            0,        IF(BV34&lt;=3,            0,          BV34-1-2))</f>
        <v>0</v>
      </c>
      <c r="BR54" s="378">
        <f>IF(BV34=1,          1,               BV34-1)</f>
        <v>1</v>
      </c>
      <c r="BS54" s="378">
        <f>IF(BR28=1,        IF(BR54=1,        AZ13,             BG13),               IF(BR28=2,              IF(BR54=1,           BD13,               4*BB53),                IF(BR54=1,         BD13+(BT28*BH15),      (4*BB53)+(2*BT28*BC53))))</f>
        <v>445.31811111111114</v>
      </c>
      <c r="BT54" s="378">
        <f>IF(BQ54=0,   0,   IF(BR28=1,    IF(H15="Imperial",        BQ54*(BG53+(((BE47*(H55-4.5)*BE51)/1728)*(H33/100))),      BQ54*(BG53+(((BE47*(H55-115)*BE51)/1000000000)*(H33/100)))),                                                    IF(BR28=2,            2*BQ54*BG53,        (2*BQ54*BG53)+(BT28*BQ54*BH53))))</f>
        <v>0</v>
      </c>
      <c r="BU54" s="378">
        <f>BS54+BT54</f>
        <v>445.31811111111114</v>
      </c>
      <c r="BV54" s="378"/>
      <c r="BW54" s="343">
        <f>IF(BQ28&lt;=BU54,         0,            BQ28-BU54)</f>
        <v>264.32805555555552</v>
      </c>
      <c r="BX54" s="324"/>
      <c r="BY54" s="415"/>
      <c r="BZ54" s="415"/>
      <c r="CA54" s="415"/>
      <c r="CB54" s="337"/>
    </row>
    <row r="55" spans="2:92" ht="15" customHeight="1">
      <c r="B55" s="113"/>
      <c r="C55" s="190"/>
      <c r="D55" s="190"/>
      <c r="E55" s="196"/>
      <c r="F55" s="197" t="str">
        <f>IF(H15="Imperial",     "Border Size (min. 12 Inches)",       "Border Size (min. 300mm)")</f>
        <v>Border Size (min. 12 Inches)</v>
      </c>
      <c r="G55" s="150"/>
      <c r="H55" s="291">
        <f>IF(H15="Imperial",    12,    300)</f>
        <v>12</v>
      </c>
      <c r="I55" s="291"/>
      <c r="J55" s="186"/>
      <c r="K55" s="151" t="str">
        <f>IF($H$15="Imperial","in","mm")</f>
        <v>in</v>
      </c>
      <c r="L55" s="152"/>
      <c r="M55" s="112"/>
      <c r="N55" s="20"/>
      <c r="O55" s="79" t="s">
        <v>89</v>
      </c>
      <c r="P55" s="80">
        <f>IF(H37&lt;3,            0,            BO154)</f>
        <v>0</v>
      </c>
      <c r="Q55" s="192" t="str">
        <f>IF(H$15="Imperial",    "ft",       "m")</f>
        <v>ft</v>
      </c>
      <c r="R55" s="297" t="s">
        <v>213</v>
      </c>
      <c r="S55" s="297"/>
      <c r="T55" s="297"/>
      <c r="U55" s="297"/>
      <c r="V55" s="297"/>
      <c r="W55" s="297"/>
      <c r="X55" s="297"/>
      <c r="Y55" s="297"/>
      <c r="Z55" s="297"/>
      <c r="AA55" s="297"/>
      <c r="AB55" s="298"/>
      <c r="AC55" s="4"/>
      <c r="AD55" s="289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2"/>
      <c r="AT55" s="4"/>
      <c r="AU55" s="313"/>
      <c r="AV55" s="324"/>
      <c r="AW55" s="421" t="s">
        <v>67</v>
      </c>
      <c r="AX55" s="421"/>
      <c r="AY55" s="421"/>
      <c r="AZ55" s="422">
        <f>AZ49*AZ47*AZ51</f>
        <v>369495</v>
      </c>
      <c r="BA55" s="422">
        <f>BA49*BA47*BA51</f>
        <v>333270</v>
      </c>
      <c r="BB55" s="423">
        <f>IF(H15="Imperial",           (BB53*1728)/AZ55,           (BB53*1000000000)/AZ55)</f>
        <v>0.61507928388746813</v>
      </c>
      <c r="BC55" s="423">
        <f>IF(H15="Imperial",             (BC53*1728)/BA55,          (BC53*1000000000)/BA55)</f>
        <v>0.63845746691871463</v>
      </c>
      <c r="BD55" s="325"/>
      <c r="BE55" s="422">
        <f>BE47*BE49*BE51</f>
        <v>313191</v>
      </c>
      <c r="BF55" s="422">
        <f>BF47*BF49*BF51</f>
        <v>282486</v>
      </c>
      <c r="BG55" s="325">
        <f>IF(H15="Imperial",          (BG53*1728)/BE55,         (BG53*1000000000)/BE55)</f>
        <v>0.64282077071180199</v>
      </c>
      <c r="BH55" s="325">
        <f>IF(H15="Imperial",       (BH53*1728)/BF55,         (BH53*1000000000)/BF55)</f>
        <v>0.66921433274569353</v>
      </c>
      <c r="BI55" s="313"/>
      <c r="BJ55" s="313"/>
      <c r="BK55" s="424" t="s">
        <v>92</v>
      </c>
      <c r="BL55" s="424"/>
      <c r="BM55" s="424"/>
      <c r="BN55" s="425">
        <f>(BB53*1728)/AZ51</f>
        <v>2164.4640000000004</v>
      </c>
      <c r="BO55" s="381"/>
      <c r="BP55" s="318"/>
      <c r="BQ55" s="378"/>
      <c r="BR55" s="378"/>
      <c r="BS55" s="378"/>
      <c r="BT55" s="378"/>
      <c r="BU55" s="378"/>
      <c r="BV55" s="378"/>
      <c r="BW55" s="343"/>
      <c r="BX55" s="324"/>
      <c r="BY55" s="415"/>
      <c r="BZ55" s="415"/>
      <c r="CA55" s="415"/>
      <c r="CB55" s="337"/>
    </row>
    <row r="56" spans="2:92" ht="3.75" customHeight="1">
      <c r="B56" s="187"/>
      <c r="C56" s="188"/>
      <c r="D56" s="188"/>
      <c r="E56" s="188"/>
      <c r="F56" s="188"/>
      <c r="G56" s="189"/>
      <c r="H56" s="189"/>
      <c r="I56" s="189"/>
      <c r="J56" s="189"/>
      <c r="K56" s="153"/>
      <c r="L56" s="152"/>
      <c r="M56" s="4"/>
      <c r="N56" s="20"/>
      <c r="O56" s="27"/>
      <c r="P56" s="216"/>
      <c r="Q56" s="173"/>
      <c r="R56" s="160"/>
      <c r="S56" s="25"/>
      <c r="T56" s="25"/>
      <c r="U56" s="25"/>
      <c r="V56" s="25"/>
      <c r="W56" s="25"/>
      <c r="X56" s="25"/>
      <c r="Y56" s="25"/>
      <c r="Z56" s="25"/>
      <c r="AA56" s="25"/>
      <c r="AB56" s="115"/>
      <c r="AC56" s="4"/>
      <c r="AD56" s="289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2"/>
      <c r="AT56" s="8"/>
      <c r="AU56" s="318"/>
      <c r="AV56" s="324"/>
      <c r="AW56" s="325"/>
      <c r="AX56" s="325"/>
      <c r="AY56" s="325"/>
      <c r="AZ56" s="325"/>
      <c r="BA56" s="426"/>
      <c r="BB56" s="370"/>
      <c r="BC56" s="325"/>
      <c r="BD56" s="325"/>
      <c r="BE56" s="325"/>
      <c r="BF56" s="325"/>
      <c r="BG56" s="325"/>
      <c r="BH56" s="325"/>
      <c r="BI56" s="313"/>
      <c r="BJ56" s="313"/>
      <c r="BK56" s="416"/>
      <c r="BL56" s="427"/>
      <c r="BM56" s="416"/>
      <c r="BN56" s="417"/>
      <c r="BO56" s="391"/>
      <c r="BP56" s="318"/>
      <c r="BQ56" s="382" t="s">
        <v>133</v>
      </c>
      <c r="BR56" s="382" t="s">
        <v>134</v>
      </c>
      <c r="BS56" s="313"/>
      <c r="BT56" s="313"/>
      <c r="BU56" s="380"/>
      <c r="BV56" s="380"/>
      <c r="BW56" s="325"/>
      <c r="BX56" s="324"/>
      <c r="BY56" s="415"/>
      <c r="BZ56" s="415"/>
      <c r="CA56" s="415"/>
      <c r="CB56" s="337"/>
    </row>
    <row r="57" spans="2:92" ht="15" customHeight="1">
      <c r="B57" s="292" t="s">
        <v>70</v>
      </c>
      <c r="C57" s="293"/>
      <c r="D57" s="293"/>
      <c r="E57" s="293"/>
      <c r="F57" s="293"/>
      <c r="G57" s="150"/>
      <c r="H57" s="303" t="s">
        <v>102</v>
      </c>
      <c r="I57" s="303"/>
      <c r="J57" s="151"/>
      <c r="K57" s="151"/>
      <c r="L57" s="154"/>
      <c r="M57" s="4"/>
      <c r="N57" s="32"/>
      <c r="O57" s="28" t="s">
        <v>90</v>
      </c>
      <c r="P57" s="82">
        <f>IF(H37&lt;3,              0,               IF(H15="Imperial",     (AY75+H29+(H39/2))/12,            (AY75+H29+(H39/2))/1000))</f>
        <v>0</v>
      </c>
      <c r="Q57" s="193" t="str">
        <f>IF(H$15="Imperial",    "ft",       "m")</f>
        <v>ft</v>
      </c>
      <c r="R57" s="229" t="s">
        <v>159</v>
      </c>
      <c r="S57" s="229"/>
      <c r="T57" s="229"/>
      <c r="U57" s="229"/>
      <c r="V57" s="280">
        <f>BO152</f>
        <v>0</v>
      </c>
      <c r="W57" s="280"/>
      <c r="X57" s="280"/>
      <c r="Y57" s="81" t="str">
        <f>IF(H15="Imperial",        "Cubic Feet",        "Cubic Meters")</f>
        <v>Cubic Feet</v>
      </c>
      <c r="Z57" s="81"/>
      <c r="AA57" s="81"/>
      <c r="AB57" s="115"/>
      <c r="AC57" s="4"/>
      <c r="AD57" s="289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2"/>
      <c r="AT57" s="8"/>
      <c r="AU57" s="318"/>
      <c r="AV57" s="324"/>
      <c r="AW57" s="409"/>
      <c r="AX57" s="409"/>
      <c r="AY57" s="409" t="s">
        <v>25</v>
      </c>
      <c r="AZ57" s="409"/>
      <c r="BA57" s="409"/>
      <c r="BB57" s="409"/>
      <c r="BC57" s="409"/>
      <c r="BD57" s="409" t="s">
        <v>24</v>
      </c>
      <c r="BE57" s="409"/>
      <c r="BF57" s="409"/>
      <c r="BG57" s="409"/>
      <c r="BH57" s="409"/>
      <c r="BI57" s="313"/>
      <c r="BJ57" s="313"/>
      <c r="BK57" s="428" t="s">
        <v>93</v>
      </c>
      <c r="BL57" s="428"/>
      <c r="BM57" s="428"/>
      <c r="BN57" s="417">
        <f>(BB53*1728)/AZ49</f>
        <v>2970.8329411764712</v>
      </c>
      <c r="BO57" s="391"/>
      <c r="BP57" s="318"/>
      <c r="BQ57" s="382"/>
      <c r="BR57" s="382"/>
      <c r="BS57" s="429" t="s">
        <v>135</v>
      </c>
      <c r="BT57" s="335">
        <f>BR28</f>
        <v>3</v>
      </c>
      <c r="BU57" s="380" t="s">
        <v>139</v>
      </c>
      <c r="BV57" s="380"/>
      <c r="BW57" s="325"/>
      <c r="BX57" s="324"/>
      <c r="BY57" s="415"/>
      <c r="BZ57" s="415"/>
      <c r="CA57" s="415"/>
      <c r="CB57" s="337"/>
    </row>
    <row r="58" spans="2:92" ht="3.75" customHeight="1">
      <c r="B58" s="292"/>
      <c r="C58" s="293"/>
      <c r="D58" s="293"/>
      <c r="E58" s="293"/>
      <c r="F58" s="293"/>
      <c r="G58" s="155"/>
      <c r="H58" s="303"/>
      <c r="I58" s="303"/>
      <c r="J58" s="155"/>
      <c r="K58" s="155"/>
      <c r="L58" s="154"/>
      <c r="M58" s="4"/>
      <c r="N58" s="113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4"/>
      <c r="AD58" s="289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2"/>
      <c r="AT58" s="4"/>
      <c r="AU58" s="313"/>
      <c r="AV58" s="324"/>
      <c r="AW58" s="411"/>
      <c r="AX58" s="411"/>
      <c r="AY58" s="339" t="s">
        <v>8</v>
      </c>
      <c r="AZ58" s="373" t="s">
        <v>20</v>
      </c>
      <c r="BA58" s="373" t="s">
        <v>22</v>
      </c>
      <c r="BB58" s="373" t="s">
        <v>21</v>
      </c>
      <c r="BC58" s="373" t="s">
        <v>23</v>
      </c>
      <c r="BD58" s="339" t="s">
        <v>8</v>
      </c>
      <c r="BE58" s="373" t="s">
        <v>20</v>
      </c>
      <c r="BF58" s="373" t="s">
        <v>22</v>
      </c>
      <c r="BG58" s="373" t="s">
        <v>21</v>
      </c>
      <c r="BH58" s="373" t="s">
        <v>23</v>
      </c>
      <c r="BI58" s="313"/>
      <c r="BJ58" s="313"/>
      <c r="BK58" s="416"/>
      <c r="BL58" s="427"/>
      <c r="BM58" s="416"/>
      <c r="BN58" s="417"/>
      <c r="BO58" s="391"/>
      <c r="BP58" s="318"/>
      <c r="BQ58" s="382"/>
      <c r="BR58" s="382"/>
      <c r="BS58" s="313"/>
      <c r="BT58" s="313"/>
      <c r="BU58" s="380"/>
      <c r="BV58" s="380"/>
      <c r="BW58" s="325"/>
      <c r="BX58" s="324"/>
      <c r="BY58" s="415"/>
      <c r="BZ58" s="415"/>
      <c r="CA58" s="415"/>
      <c r="CB58" s="337"/>
    </row>
    <row r="59" spans="2:92" ht="16.5" customHeight="1">
      <c r="B59" s="292"/>
      <c r="C59" s="293"/>
      <c r="D59" s="293"/>
      <c r="E59" s="293"/>
      <c r="F59" s="293"/>
      <c r="G59" s="151"/>
      <c r="H59" s="303"/>
      <c r="I59" s="303"/>
      <c r="J59" s="151"/>
      <c r="K59" s="151"/>
      <c r="L59" s="154"/>
      <c r="M59" s="4"/>
      <c r="N59" s="113"/>
      <c r="O59" s="114"/>
      <c r="P59" s="114"/>
      <c r="Q59" s="114"/>
      <c r="R59" s="224" t="s">
        <v>198</v>
      </c>
      <c r="S59" s="224"/>
      <c r="T59" s="224"/>
      <c r="U59" s="224"/>
      <c r="V59" s="283">
        <f>(U53*X53)</f>
        <v>0</v>
      </c>
      <c r="W59" s="283"/>
      <c r="X59" s="283"/>
      <c r="Y59" s="114"/>
      <c r="Z59" s="114"/>
      <c r="AA59" s="114"/>
      <c r="AB59" s="115"/>
      <c r="AC59" s="4"/>
      <c r="AD59" s="289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2"/>
      <c r="AT59" s="38"/>
      <c r="AU59" s="313"/>
      <c r="AV59" s="324"/>
      <c r="AW59" s="412" t="str">
        <f>IF($H$37&gt;1,$H$19,"")</f>
        <v>SC-34W</v>
      </c>
      <c r="AX59" s="325"/>
      <c r="AY59" s="339"/>
      <c r="AZ59" s="373"/>
      <c r="BA59" s="373"/>
      <c r="BB59" s="373"/>
      <c r="BC59" s="373"/>
      <c r="BD59" s="339"/>
      <c r="BE59" s="373"/>
      <c r="BF59" s="373"/>
      <c r="BG59" s="373"/>
      <c r="BH59" s="373"/>
      <c r="BI59" s="313"/>
      <c r="BJ59" s="313"/>
      <c r="BK59" s="424" t="s">
        <v>95</v>
      </c>
      <c r="BL59" s="424"/>
      <c r="BM59" s="424"/>
      <c r="BN59" s="388">
        <f>(BC53*1728)/BA51</f>
        <v>2026.4640000000004</v>
      </c>
      <c r="BO59" s="388"/>
      <c r="BP59" s="318"/>
      <c r="BQ59" s="382"/>
      <c r="BR59" s="382"/>
      <c r="BS59" s="429" t="s">
        <v>140</v>
      </c>
      <c r="BT59" s="335">
        <f>BQ60+BR60</f>
        <v>3</v>
      </c>
      <c r="BU59" s="380" t="s">
        <v>138</v>
      </c>
      <c r="BV59" s="380"/>
      <c r="BW59" s="325"/>
      <c r="BX59" s="324"/>
      <c r="BY59" s="415"/>
      <c r="BZ59" s="415"/>
      <c r="CA59" s="415"/>
      <c r="CB59" s="337"/>
    </row>
    <row r="60" spans="2:92" ht="3.75" customHeight="1">
      <c r="B60" s="122"/>
      <c r="C60" s="114"/>
      <c r="D60" s="114"/>
      <c r="E60" s="114"/>
      <c r="F60" s="114"/>
      <c r="G60" s="114"/>
      <c r="H60" s="114"/>
      <c r="I60" s="114"/>
      <c r="J60" s="114"/>
      <c r="K60" s="114"/>
      <c r="L60" s="115"/>
      <c r="M60" s="4"/>
      <c r="N60" s="20"/>
      <c r="O60" s="114"/>
      <c r="P60" s="114"/>
      <c r="Q60" s="114"/>
      <c r="R60" s="18"/>
      <c r="S60" s="18"/>
      <c r="T60" s="18"/>
      <c r="U60" s="18"/>
      <c r="V60" s="119"/>
      <c r="W60" s="119"/>
      <c r="X60" s="119"/>
      <c r="Y60" s="114"/>
      <c r="Z60" s="114"/>
      <c r="AA60" s="114"/>
      <c r="AB60" s="19"/>
      <c r="AC60" s="8"/>
      <c r="AD60" s="289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2"/>
      <c r="AT60" s="38"/>
      <c r="AU60" s="313"/>
      <c r="AV60" s="324"/>
      <c r="AW60" s="412"/>
      <c r="AX60" s="325"/>
      <c r="AY60" s="339"/>
      <c r="AZ60" s="373"/>
      <c r="BA60" s="373"/>
      <c r="BB60" s="373"/>
      <c r="BC60" s="373"/>
      <c r="BD60" s="339"/>
      <c r="BE60" s="373"/>
      <c r="BF60" s="373"/>
      <c r="BG60" s="373"/>
      <c r="BH60" s="373"/>
      <c r="BI60" s="388"/>
      <c r="BJ60" s="324"/>
      <c r="BK60" s="416"/>
      <c r="BL60" s="427"/>
      <c r="BM60" s="416"/>
      <c r="BN60" s="417"/>
      <c r="BO60" s="391"/>
      <c r="BP60" s="318"/>
      <c r="BQ60" s="378">
        <f>IF(BW54=0,           0,          IF(BV34&lt;=2,          IF(H15="Imperial",                         IF(BW54&lt;=(BB53+(((AZ47*(H55-4.5)*AZ51)/1728)*(H33/100))-(((AZ7+AZ9)-BB53)+(((AZ47*(AY49+H55+H55-4.5)*H55)/1728)*(H33/100))+(((AZ47*(H55-4.5)*(AZ5-AY51))/1728)*(H33/100)))),    1,   2),                                                                IF(BW54&lt;=(BB53+(((AZ47*(H55-115)*AZ51)/1000000000)*(H33/100))-(((AZ7+AZ9)-BB53)+(((AZ47*(AY49+H55+H55-115)*H55)/1000000000)*(H33/100))+(((AZ47*(H55-115)*(AZ5-AY51))/1000000000)*(H33/100)))),    1,   2)),                             IF(H15="Imperial",                                                               IF(BW54&lt;=(BG53+(((BE47*(H55-4.5)*BE51)/1728)*(H33/100))),                   1,        2),                  IF(BW54&lt;=(BG53+(((BE47*(H55-115)*BE51)/1000000000)*(H33/100))),         1,           2))))</f>
        <v>2</v>
      </c>
      <c r="BR60" s="378">
        <f>IF(BW54=0,        0,                 IF(BV34&lt;=2,          IF(H15="Imperial",           IF(BW54&lt;=(2*(BB53-((AZ7+AZ9)-BB53)-(((AZ47*AZ49*H55)/1728)*(H33/100)))),        0,                                                                               ROUNDUP((BW54-(2*(BB53-((AZ7+AZ9)-BB53)-(((AZ47*AZ49*H55)/1728)*(H33/100)))))/(BC53-((AZ7+BH7)-BC53)-(((BA47*BA49*H55)/1728)*(H33/100))),0)),                                                                                                                                                                   IF(BW54&lt;=(2*(BB53-((AZ7+AZ9)-BB53)-(((AZ47*AZ49*H55)/1000000000)*(H33/100)))),      0,          ROUNDUP((BW54-(2*(BB53-((AZ7+AZ9)-BB53)-(((AZ47*AZ49*H55)/1000000000)*(H33/100)))))/(BC53-((AZ7+BH7)-BC53)-(((BA47*BA49*H55)/1000000000)*(H33/100))),0))),             IF(BW54&lt;=(2*BG53),      0,           ROUNDUP((BW54-(2*BG53))/BH53,0))      ))</f>
        <v>1</v>
      </c>
      <c r="BS60" s="429"/>
      <c r="BT60" s="335"/>
      <c r="BU60" s="380"/>
      <c r="BV60" s="380"/>
      <c r="BW60" s="325"/>
      <c r="BX60" s="324"/>
      <c r="BY60" s="415"/>
      <c r="BZ60" s="415"/>
      <c r="CA60" s="415"/>
      <c r="CB60" s="337"/>
    </row>
    <row r="61" spans="2:92" ht="15.75" customHeight="1">
      <c r="B61" s="113"/>
      <c r="C61" s="284" t="s">
        <v>203</v>
      </c>
      <c r="D61" s="284"/>
      <c r="E61" s="284"/>
      <c r="F61" s="284"/>
      <c r="G61" s="284"/>
      <c r="H61" s="284"/>
      <c r="I61" s="284"/>
      <c r="J61" s="135"/>
      <c r="K61" s="135"/>
      <c r="L61" s="136"/>
      <c r="M61" s="4"/>
      <c r="N61" s="20"/>
      <c r="O61" s="29"/>
      <c r="P61" s="29"/>
      <c r="Q61" s="29"/>
      <c r="R61" s="29"/>
      <c r="S61" s="33"/>
      <c r="T61" s="29"/>
      <c r="U61" s="29"/>
      <c r="V61" s="29"/>
      <c r="W61" s="29"/>
      <c r="X61" s="29"/>
      <c r="Y61" s="29"/>
      <c r="Z61" s="29"/>
      <c r="AA61" s="29"/>
      <c r="AB61" s="19"/>
      <c r="AC61" s="8"/>
      <c r="AD61" s="289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2"/>
      <c r="AT61" s="39"/>
      <c r="AU61" s="318"/>
      <c r="AV61" s="324"/>
      <c r="AW61" s="412"/>
      <c r="AX61" s="325" t="str">
        <f>IF($H$15="Imperial","Height (in)","Height (mm)")</f>
        <v>Height (in)</v>
      </c>
      <c r="AY61" s="325">
        <f>IF($H$15="Imperial",       IF($H$19="SC-44",         44,          34),          IF($H$19="SC-44",         1117,        864))</f>
        <v>34</v>
      </c>
      <c r="AZ61" s="325">
        <f>IF($H$37=1,       0,       IF($H$37=2,        $AY$61+$H$29+($H$39/2),         $AY$61+$H$39))</f>
        <v>46</v>
      </c>
      <c r="BA61" s="325">
        <f>IF($H$37=1,       0,          IF($H$37=2,         $AY$61+$H$29+($H$39/2),          $AY$61+$H$39))</f>
        <v>46</v>
      </c>
      <c r="BB61" s="407"/>
      <c r="BC61" s="325"/>
      <c r="BD61" s="325">
        <f>IF($H$15="Imperial",          IF($H$19="SC-44",        44,         34),       IF($H$19="SC-44",       1117,      864))</f>
        <v>34</v>
      </c>
      <c r="BE61" s="325">
        <f>IF(H37=1,        0,         IF($H$37=2,         $BD$61+$H$29+($H$39/2),          $BD$61+$H$39))</f>
        <v>46</v>
      </c>
      <c r="BF61" s="325">
        <f>IF(H37=1,0,IF($H$37=2,$BD$61+$H$29+($H$39/2),$BD$61+$H$39))</f>
        <v>46</v>
      </c>
      <c r="BG61" s="407"/>
      <c r="BH61" s="325"/>
      <c r="BI61" s="324"/>
      <c r="BJ61" s="324"/>
      <c r="BK61" s="428" t="s">
        <v>96</v>
      </c>
      <c r="BL61" s="428"/>
      <c r="BM61" s="428"/>
      <c r="BN61" s="417">
        <f>(BC53*1728)/BA49</f>
        <v>3083.7495652173916</v>
      </c>
      <c r="BO61" s="391"/>
      <c r="BP61" s="318"/>
      <c r="BQ61" s="378"/>
      <c r="BR61" s="378"/>
      <c r="BS61" s="429" t="s">
        <v>182</v>
      </c>
      <c r="BT61" s="335">
        <f>IF(BW54=0,              0,         BT57-BT59)</f>
        <v>0</v>
      </c>
      <c r="BU61" s="313"/>
      <c r="BV61" s="313">
        <f>BW54-(2*(BG53+(((6*BE47*BE51)/1728)*(H33/100))))</f>
        <v>19.939999999999969</v>
      </c>
      <c r="BW61" s="325"/>
      <c r="BX61" s="324"/>
      <c r="BY61" s="415"/>
      <c r="BZ61" s="415"/>
      <c r="CA61" s="415"/>
      <c r="CB61" s="337"/>
    </row>
    <row r="62" spans="2:92" ht="3.75" customHeight="1">
      <c r="B62" s="134"/>
      <c r="C62" s="284"/>
      <c r="D62" s="284"/>
      <c r="E62" s="284"/>
      <c r="F62" s="284"/>
      <c r="G62" s="284"/>
      <c r="H62" s="284"/>
      <c r="I62" s="284"/>
      <c r="J62" s="135"/>
      <c r="K62" s="135"/>
      <c r="L62" s="136"/>
      <c r="M62" s="4"/>
      <c r="N62" s="20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9"/>
      <c r="AC62" s="4"/>
      <c r="AD62" s="289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2"/>
      <c r="AT62" s="38"/>
      <c r="AU62" s="313"/>
      <c r="AV62" s="313"/>
      <c r="AW62" s="412"/>
      <c r="AX62" s="325"/>
      <c r="AY62" s="325"/>
      <c r="AZ62" s="325"/>
      <c r="BA62" s="325"/>
      <c r="BB62" s="407"/>
      <c r="BC62" s="325"/>
      <c r="BD62" s="325"/>
      <c r="BE62" s="325"/>
      <c r="BF62" s="325"/>
      <c r="BG62" s="407"/>
      <c r="BH62" s="325"/>
      <c r="BI62" s="313"/>
      <c r="BJ62" s="313"/>
      <c r="BK62" s="429"/>
      <c r="BL62" s="429"/>
      <c r="BM62" s="429"/>
      <c r="BN62" s="417"/>
      <c r="BO62" s="391"/>
      <c r="BP62" s="318"/>
      <c r="BQ62" s="324"/>
      <c r="BR62" s="324"/>
      <c r="BS62" s="429"/>
      <c r="BT62" s="335"/>
      <c r="BU62" s="380"/>
      <c r="BV62" s="380"/>
      <c r="BW62" s="325"/>
      <c r="BX62" s="324"/>
      <c r="BY62" s="415"/>
      <c r="BZ62" s="415"/>
      <c r="CA62" s="415"/>
      <c r="CB62" s="337"/>
      <c r="CC62" s="70"/>
    </row>
    <row r="63" spans="2:92" ht="15" customHeight="1">
      <c r="B63" s="134"/>
      <c r="C63" s="284"/>
      <c r="D63" s="284"/>
      <c r="E63" s="284"/>
      <c r="F63" s="284"/>
      <c r="G63" s="284"/>
      <c r="H63" s="284"/>
      <c r="I63" s="284"/>
      <c r="J63" s="135"/>
      <c r="K63" s="135"/>
      <c r="L63" s="136"/>
      <c r="M63" s="4"/>
      <c r="N63" s="20"/>
      <c r="O63" s="114"/>
      <c r="P63" s="156"/>
      <c r="Q63" s="156"/>
      <c r="R63" s="156"/>
      <c r="S63" s="156"/>
      <c r="T63" s="16"/>
      <c r="U63" s="156" t="s">
        <v>208</v>
      </c>
      <c r="V63" s="225">
        <f>IF(OR(H37=1,H37=3),                            IF(AND(BO43&gt;BO98,BO43&gt;BO153),            BO43,                  IF(AND(BO98&gt;BO153,BO98&gt;BO43),             BO98,                     BO153)),                        IF(AND(BO45&gt;BO97,BO45&gt;BO154),                                                                                                                        BO45,                   IF(AND(BO97&gt;BO154,BO97&gt;BO45),             BO97,                    BO154)))</f>
        <v>18.5</v>
      </c>
      <c r="W63" s="225"/>
      <c r="X63" s="225"/>
      <c r="Y63" s="162" t="str">
        <f>IF(H15="Imperial",    "ft",       "m")</f>
        <v>ft</v>
      </c>
      <c r="Z63" s="72"/>
      <c r="AA63" s="72"/>
      <c r="AB63" s="19"/>
      <c r="AC63" s="38"/>
      <c r="AD63" s="289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2"/>
      <c r="AT63" s="39"/>
      <c r="AU63" s="318"/>
      <c r="AV63" s="313"/>
      <c r="AW63" s="412"/>
      <c r="AX63" s="325" t="str">
        <f>IF($H$15="Imperial","Width (in)","Width (mm)")</f>
        <v>Width (in)</v>
      </c>
      <c r="AY63" s="325">
        <f>IF($H$15="Imperial",         IF($H$19="SC-44",       78,       60),        IF($H$19="SC-44",      1981,       1524))</f>
        <v>60</v>
      </c>
      <c r="AZ63" s="325">
        <f>IF(H15="Imperial",                 AY63+($H$45/2)+(H55),              AY63+($H$45/2)+(H55))</f>
        <v>76.5</v>
      </c>
      <c r="BA63" s="325">
        <f>AY63+$H$45</f>
        <v>69</v>
      </c>
      <c r="BB63" s="407"/>
      <c r="BC63" s="325"/>
      <c r="BD63" s="325">
        <f>IF($H$15="Imperial",         IF($H$19="SC-44",       78,       60),        IF($H$19="SC-44",      1981,       1524))</f>
        <v>60</v>
      </c>
      <c r="BE63" s="325">
        <f>IF(H15="Imperial",               BD63+($H$45/2)+(H55),                BD63+($H$45/2)+(H55))</f>
        <v>76.5</v>
      </c>
      <c r="BF63" s="325">
        <f>BD63+$H$45</f>
        <v>69</v>
      </c>
      <c r="BG63" s="407"/>
      <c r="BH63" s="325"/>
      <c r="BI63" s="313"/>
      <c r="BJ63" s="313"/>
      <c r="BK63" s="429"/>
      <c r="BL63" s="429"/>
      <c r="BM63" s="429"/>
      <c r="BN63" s="388"/>
      <c r="BO63" s="388"/>
      <c r="BP63" s="318"/>
      <c r="BQ63" s="376"/>
      <c r="BR63" s="376"/>
      <c r="BS63" s="429" t="s">
        <v>136</v>
      </c>
      <c r="BT63" s="335">
        <f>IF(BT57=BT59,       0,         IF(BW54=0,       0,     BR54))</f>
        <v>0</v>
      </c>
      <c r="BU63" s="380"/>
      <c r="BV63" s="380">
        <f>BV61/BH53</f>
        <v>0.18226644762734173</v>
      </c>
      <c r="BW63" s="325"/>
      <c r="BX63" s="324"/>
      <c r="BY63" s="415"/>
      <c r="BZ63" s="415"/>
      <c r="CA63" s="415"/>
      <c r="CB63" s="337"/>
      <c r="CC63" s="70"/>
    </row>
    <row r="64" spans="2:92" ht="3.75" customHeight="1"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"/>
      <c r="N64" s="20"/>
      <c r="O64" s="119"/>
      <c r="P64" s="119"/>
      <c r="Q64" s="119"/>
      <c r="R64" s="119"/>
      <c r="S64" s="156"/>
      <c r="T64" s="16"/>
      <c r="U64" s="114"/>
      <c r="V64" s="215"/>
      <c r="W64" s="215"/>
      <c r="X64" s="215"/>
      <c r="Y64" s="159"/>
      <c r="Z64" s="130"/>
      <c r="AA64" s="130"/>
      <c r="AB64" s="19"/>
      <c r="AC64" s="38"/>
      <c r="AD64" s="289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2"/>
      <c r="AT64" s="41"/>
      <c r="AU64" s="313"/>
      <c r="AV64" s="313"/>
      <c r="AW64" s="412"/>
      <c r="AX64" s="325"/>
      <c r="AY64" s="325"/>
      <c r="AZ64" s="325"/>
      <c r="BA64" s="325"/>
      <c r="BB64" s="407"/>
      <c r="BC64" s="325"/>
      <c r="BD64" s="325"/>
      <c r="BE64" s="325"/>
      <c r="BF64" s="325"/>
      <c r="BG64" s="407"/>
      <c r="BH64" s="325"/>
      <c r="BI64" s="313"/>
      <c r="BJ64" s="313"/>
      <c r="BK64" s="416"/>
      <c r="BL64" s="427"/>
      <c r="BM64" s="416"/>
      <c r="BN64" s="417"/>
      <c r="BO64" s="391"/>
      <c r="BP64" s="318"/>
      <c r="BQ64" s="376"/>
      <c r="BR64" s="376"/>
      <c r="BS64" s="429"/>
      <c r="BT64" s="335"/>
      <c r="BU64" s="380"/>
      <c r="BV64" s="380"/>
      <c r="BW64" s="325"/>
      <c r="BX64" s="324"/>
      <c r="BY64" s="415"/>
      <c r="BZ64" s="415"/>
      <c r="CA64" s="415"/>
      <c r="CB64" s="337"/>
      <c r="CC64" s="70"/>
    </row>
    <row r="65" spans="2:103" ht="15" customHeight="1">
      <c r="B65" s="263" t="str">
        <f>IF($H$23="WIdth",IF(H25&lt;V65,"The Width of this system exceeds the Design Constrain. Consider reducing the number of Rows or changing the Constraint.",""),IF(H25&lt;V63,"The Length of this system exceeds the Design Constraint. Consider increasing the number of rows or changing the constraint.",""))</f>
        <v/>
      </c>
      <c r="C65" s="264"/>
      <c r="D65" s="264"/>
      <c r="E65" s="264"/>
      <c r="F65" s="264"/>
      <c r="G65" s="264"/>
      <c r="H65" s="264"/>
      <c r="I65" s="264"/>
      <c r="J65" s="264"/>
      <c r="K65" s="264"/>
      <c r="L65" s="265"/>
      <c r="M65" s="4"/>
      <c r="N65" s="20"/>
      <c r="O65" s="119"/>
      <c r="P65" s="119"/>
      <c r="Q65" s="119"/>
      <c r="R65" s="119"/>
      <c r="S65" s="114"/>
      <c r="T65" s="16"/>
      <c r="U65" s="156" t="s">
        <v>209</v>
      </c>
      <c r="V65" s="225">
        <f>IF(OR(H37=1,H37=3),         IF(AND(BO45&gt;BO97,BO45&gt;BO154),             BO45,                        IF(AND(BO97&gt;BO154,BO97&gt;BO45),           BO97,                    BO154)),                                                                                                IF(AND(BO43&gt;BO98,BO43&gt;BO153),                                                                                                          BO43,                        IF(AND(BO98&gt;BO153,BO98&gt;BO43),            BO98,                    BO153)))</f>
        <v>24.25</v>
      </c>
      <c r="W65" s="225"/>
      <c r="X65" s="225"/>
      <c r="Y65" s="162" t="str">
        <f>IF(H15="Imperial",    "ft",       "m")</f>
        <v>ft</v>
      </c>
      <c r="Z65" s="72"/>
      <c r="AA65" s="72"/>
      <c r="AB65" s="19"/>
      <c r="AC65" s="39"/>
      <c r="AD65" s="289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2"/>
      <c r="AT65" s="4"/>
      <c r="AU65" s="313"/>
      <c r="AV65" s="324"/>
      <c r="AW65" s="412"/>
      <c r="AX65" s="325" t="str">
        <f>IF($H$15="Imperial","Installed Length (in)","Installed Length (mm)")</f>
        <v>Installed Length (in)</v>
      </c>
      <c r="AY65" s="325">
        <f>IF($H$15="Imperial",       IF($H$19="SC-44",          81,          IF($H$19="SC-34E",        97,           93)),       IF($H$19="SC-44",          2057.4,           IF($H$19="SC-34E",           2464,         2362)))</f>
        <v>93</v>
      </c>
      <c r="AZ65" s="325">
        <f>IF(H15="Imperial",                 AY65+(H55),                AY65+(H55))</f>
        <v>105</v>
      </c>
      <c r="BA65" s="325">
        <f>IF(H15="Imperial",            AY65+(H55),                 AY65+(H55))</f>
        <v>105</v>
      </c>
      <c r="BB65" s="407"/>
      <c r="BC65" s="325"/>
      <c r="BD65" s="325">
        <f>IF($H$15="Imperial",        IF($H$19="SC-44",        75,         IF($H$19="SC-34E",    91,       89)),         IF($H$19="SC-44",        1905,        IF($H$19="SC-34E",        2311,       2260)))</f>
        <v>89</v>
      </c>
      <c r="BE65" s="325">
        <f>BD65</f>
        <v>89</v>
      </c>
      <c r="BF65" s="325">
        <f>BD65</f>
        <v>89</v>
      </c>
      <c r="BG65" s="407"/>
      <c r="BH65" s="325"/>
      <c r="BI65" s="313"/>
      <c r="BJ65" s="313"/>
      <c r="BK65" s="428" t="s">
        <v>94</v>
      </c>
      <c r="BL65" s="428"/>
      <c r="BM65" s="428"/>
      <c r="BN65" s="417">
        <f>(BG53*1728)/BE51</f>
        <v>2262.0862921348312</v>
      </c>
      <c r="BO65" s="391"/>
      <c r="BP65" s="313"/>
      <c r="BQ65" s="376"/>
      <c r="BR65" s="376"/>
      <c r="BS65" s="429" t="s">
        <v>137</v>
      </c>
      <c r="BT65" s="335">
        <f>IF(BW54=0,          BR54,        BV34)</f>
        <v>2</v>
      </c>
      <c r="BU65" s="380"/>
      <c r="BV65" s="380"/>
      <c r="BW65" s="325"/>
      <c r="BX65" s="324"/>
      <c r="BY65" s="415"/>
      <c r="BZ65" s="415"/>
      <c r="CA65" s="415"/>
      <c r="CB65" s="337"/>
      <c r="CC65" s="70"/>
      <c r="CF65" s="91"/>
      <c r="CG65" s="91"/>
      <c r="CH65" s="91"/>
      <c r="CI65" s="91"/>
      <c r="CJ65" s="91"/>
      <c r="CK65" s="91"/>
      <c r="CL65" s="91"/>
      <c r="CM65" s="91"/>
      <c r="CN65" s="91"/>
    </row>
    <row r="66" spans="2:103" ht="3.75" customHeight="1">
      <c r="B66" s="263"/>
      <c r="C66" s="264"/>
      <c r="D66" s="264"/>
      <c r="E66" s="264"/>
      <c r="F66" s="264"/>
      <c r="G66" s="264"/>
      <c r="H66" s="264"/>
      <c r="I66" s="264"/>
      <c r="J66" s="264"/>
      <c r="K66" s="264"/>
      <c r="L66" s="265"/>
      <c r="M66" s="4"/>
      <c r="N66" s="20"/>
      <c r="O66" s="119"/>
      <c r="P66" s="119"/>
      <c r="Q66" s="119"/>
      <c r="R66" s="119"/>
      <c r="S66" s="114"/>
      <c r="T66" s="16"/>
      <c r="U66" s="156"/>
      <c r="V66" s="215"/>
      <c r="W66" s="215"/>
      <c r="X66" s="215"/>
      <c r="Y66" s="72"/>
      <c r="Z66" s="130"/>
      <c r="AA66" s="130"/>
      <c r="AB66" s="19"/>
      <c r="AC66" s="38"/>
      <c r="AD66" s="289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2"/>
      <c r="AT66" s="4"/>
      <c r="AU66" s="313"/>
      <c r="AV66" s="324"/>
      <c r="AW66" s="412"/>
      <c r="AX66" s="325"/>
      <c r="AY66" s="325"/>
      <c r="AZ66" s="325"/>
      <c r="BA66" s="325"/>
      <c r="BB66" s="407"/>
      <c r="BC66" s="325"/>
      <c r="BD66" s="325"/>
      <c r="BE66" s="325"/>
      <c r="BF66" s="325"/>
      <c r="BG66" s="407"/>
      <c r="BH66" s="325"/>
      <c r="BI66" s="313"/>
      <c r="BJ66" s="313"/>
      <c r="BK66" s="416"/>
      <c r="BL66" s="427"/>
      <c r="BM66" s="416"/>
      <c r="BN66" s="417"/>
      <c r="BO66" s="391"/>
      <c r="BP66" s="313"/>
      <c r="BQ66" s="318"/>
      <c r="BR66" s="318"/>
      <c r="BS66" s="313"/>
      <c r="BT66" s="313"/>
      <c r="BU66" s="380"/>
      <c r="BV66" s="380"/>
      <c r="BW66" s="325"/>
      <c r="BX66" s="324"/>
      <c r="BY66" s="415"/>
      <c r="BZ66" s="415"/>
      <c r="CA66" s="415"/>
      <c r="CB66" s="337"/>
      <c r="CC66" s="70"/>
      <c r="CD66" s="70"/>
      <c r="CE66" s="70"/>
      <c r="CF66" s="91"/>
      <c r="CG66" s="91"/>
      <c r="CH66" s="91"/>
      <c r="CI66" s="91"/>
      <c r="CJ66" s="91"/>
      <c r="CK66" s="91"/>
      <c r="CL66" s="91"/>
      <c r="CM66" s="91"/>
      <c r="CN66" s="91"/>
    </row>
    <row r="67" spans="2:103" ht="15" customHeight="1">
      <c r="B67" s="263"/>
      <c r="C67" s="264"/>
      <c r="D67" s="264"/>
      <c r="E67" s="264"/>
      <c r="F67" s="264"/>
      <c r="G67" s="264"/>
      <c r="H67" s="264"/>
      <c r="I67" s="264"/>
      <c r="J67" s="264"/>
      <c r="K67" s="264"/>
      <c r="L67" s="265"/>
      <c r="M67" s="4"/>
      <c r="N67" s="20"/>
      <c r="O67" s="119"/>
      <c r="P67" s="119"/>
      <c r="Q67" s="119"/>
      <c r="R67" s="119"/>
      <c r="S67" s="114"/>
      <c r="T67" s="16"/>
      <c r="U67" s="156" t="s">
        <v>69</v>
      </c>
      <c r="V67" s="225">
        <f>IF(H15="Imperial",              IF(H37=1,                (H29+H27+AY47)/12,                     (H29+H27+(H37*AY47)+((H37-1)*H39))/12),                                                                                                                                                                                  IF(H37=1,                                                                 (H29+H27+AY47)/1000,                (H29+H27+(H37*AY47)+((H37-1)*H39))/1000))</f>
        <v>7.666666666666667</v>
      </c>
      <c r="W67" s="225"/>
      <c r="X67" s="225"/>
      <c r="Y67" s="162" t="str">
        <f>IF(H15="Imperial",    "ft",       "m")</f>
        <v>ft</v>
      </c>
      <c r="Z67" s="72"/>
      <c r="AA67" s="72"/>
      <c r="AB67" s="19"/>
      <c r="AC67" s="39"/>
      <c r="AD67" s="289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2"/>
      <c r="AT67" s="4"/>
      <c r="AU67" s="313"/>
      <c r="AV67" s="324"/>
      <c r="AW67" s="412"/>
      <c r="AX67" s="325" t="str">
        <f>IF($H$15="Imperial","Storage Volume (ft²)","Storage Volume (m²)")</f>
        <v>Storage Volume (ft²)</v>
      </c>
      <c r="AY67" s="325">
        <f>IF($H$15="Imperial",            IF(H19="SC-44",            111.22,           IF(H19="SC-34E",       78.24,                76.65)),                IF(H19="SC-44",         3.15,         IF(H19="SC-34E",              2.23,              2.17)))</f>
        <v>76.650000000000006</v>
      </c>
      <c r="AZ67" s="325">
        <f>IF($H$15="Imperial",((((AZ61*AZ63*AZ65)/1728)-AY67)*($H$33/100)),((((AZ61*AZ63*AZ65)/1000000000)-AY67)*($H$33/100)))</f>
        <v>54.871250000000003</v>
      </c>
      <c r="BA67" s="325">
        <f>IF($H$15="Imperial",                  ((((BA61*BA63*BA65)/1728)-AY67)*($H$33/100)),                       ((((BA61*BA63*BA65)/1000000000)-AY67)*($H$33/100)))</f>
        <v>46.485833333333339</v>
      </c>
      <c r="BB67" s="325">
        <f>AY67+AZ67</f>
        <v>131.52125000000001</v>
      </c>
      <c r="BC67" s="325">
        <f>AY67+BA67</f>
        <v>123.13583333333335</v>
      </c>
      <c r="BD67" s="325">
        <f>IF($H$15="Imperial",            IF(H19="SC-44",          105,            IF(H19="SC-34E",       75,        73.35)),                      IF(H19="SC-44",           2.97,             IF(H19="SC-34E",          2.12,              2.08)))</f>
        <v>73.349999999999994</v>
      </c>
      <c r="BE67" s="325">
        <f>IF($H$15="Imperial",               IF(H19="SC-44",                  ((((BE61*BE63*BE65)/1728)-BD67)*($H$33/100)),                    ((((BE61*BE63*BE65)/1728)-BD67)*($H$33/100))),                                                                        IF(H19="SC-44",                                                                 ((((BE61*BE63*BE65)/1000000000)-BD67)*($H$33/100)),          ((((BE61*BE63*BE65)/1000000000)-BD67)*($H$33/100))))</f>
        <v>43.157916666666665</v>
      </c>
      <c r="BF67" s="325">
        <f>IF($H$15="Imperial",                     IF(H19="SC-44",                   ((((BF61*BF63*BF65)/1728)-BD67)*($H$33/100)),                              ((((BF61*BF63*BF65)/1728)-BD67)*($H$33/100))),                                                           IF(H19="SC-44",                                                               ((((BF61*BF63*BF65)/1000000000)-BD67)*($H$33/100)),              ((((BF61*BF63*BF65)/1000000000)-BD67)*($H$33/100))))</f>
        <v>36.050277777777787</v>
      </c>
      <c r="BG67" s="325">
        <f>BD67+BE67</f>
        <v>116.50791666666666</v>
      </c>
      <c r="BH67" s="325">
        <f>BD67+BF67</f>
        <v>109.40027777777777</v>
      </c>
      <c r="BI67" s="313"/>
      <c r="BJ67" s="313"/>
      <c r="BK67" s="428" t="s">
        <v>97</v>
      </c>
      <c r="BL67" s="428"/>
      <c r="BM67" s="428"/>
      <c r="BN67" s="388">
        <f>(BG53*1728)/BE49</f>
        <v>2631.7082352941175</v>
      </c>
      <c r="BO67" s="388"/>
      <c r="BP67" s="313"/>
      <c r="BQ67" s="318"/>
      <c r="BR67" s="318"/>
      <c r="BS67" s="313"/>
      <c r="BT67" s="313"/>
      <c r="BU67" s="380"/>
      <c r="BV67" s="380"/>
      <c r="BW67" s="325"/>
      <c r="BX67" s="324"/>
      <c r="BY67" s="415"/>
      <c r="BZ67" s="415"/>
      <c r="CA67" s="415"/>
      <c r="CB67" s="337"/>
      <c r="CC67" s="70"/>
      <c r="CD67" s="70"/>
      <c r="CE67" s="70"/>
      <c r="CF67" s="91"/>
      <c r="CG67" s="91"/>
      <c r="CH67" s="91"/>
      <c r="CI67" s="91"/>
      <c r="CJ67" s="91"/>
      <c r="CK67" s="91"/>
      <c r="CL67" s="91"/>
      <c r="CM67" s="91"/>
      <c r="CN67" s="91"/>
    </row>
    <row r="68" spans="2:103" ht="3.75" customHeight="1">
      <c r="B68" s="263" t="str">
        <f>IF(AND(H37&gt;1,H15="Imperial",H39&lt;12),                            "The Space Between Layers should be at least 12 Inches",                                                                                                                                                                                               IF(AND(H37&gt;1,H15="Metric",H39&lt;300),                                   "The Space Between Layers should be at least 300mm",                                                                                                                                                                            IF(AND(H23="Width", H41&gt;H43),            "The Input Number of Rows Exceeds the Maximum Suggested Number of Rows.",                                                                                                                                                      IF(AND(H23="Length", H41&lt;H43),               "The Input Number of Rows is Less than the Minimum Suggested Number of Rows",                                                                                                                                                                                                                        IF(AND(H15="Imperial",H45&lt;9,),         "The Space Between Rows should be at least 9 inches",                                                                                                                                                                                                                  IF(AND(H15="Metric",H45&lt;225),                "The Space between Rows should be at least 225mm",          ""))))))</f>
        <v/>
      </c>
      <c r="C68" s="264"/>
      <c r="D68" s="264"/>
      <c r="E68" s="264"/>
      <c r="F68" s="264"/>
      <c r="G68" s="264"/>
      <c r="H68" s="264"/>
      <c r="I68" s="264"/>
      <c r="J68" s="264"/>
      <c r="K68" s="264"/>
      <c r="L68" s="265"/>
      <c r="M68" s="4"/>
      <c r="N68" s="20"/>
      <c r="O68" s="119"/>
      <c r="P68" s="119"/>
      <c r="Q68" s="119"/>
      <c r="R68" s="119"/>
      <c r="S68" s="114"/>
      <c r="T68" s="16"/>
      <c r="U68" s="156"/>
      <c r="V68" s="119"/>
      <c r="W68" s="119"/>
      <c r="X68" s="119"/>
      <c r="Y68" s="18"/>
      <c r="Z68" s="18"/>
      <c r="AA68" s="18"/>
      <c r="AB68" s="19"/>
      <c r="AC68" s="41"/>
      <c r="AD68" s="289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2"/>
      <c r="AT68" s="4"/>
      <c r="AU68" s="313"/>
      <c r="AV68" s="324"/>
      <c r="AW68" s="412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13"/>
      <c r="BJ68" s="313"/>
      <c r="BK68" s="416"/>
      <c r="BL68" s="427"/>
      <c r="BM68" s="416"/>
      <c r="BN68" s="417"/>
      <c r="BO68" s="391"/>
      <c r="BP68" s="313"/>
      <c r="BQ68" s="313"/>
      <c r="BR68" s="313"/>
      <c r="BS68" s="313"/>
      <c r="BT68" s="313"/>
      <c r="BU68" s="380"/>
      <c r="BV68" s="380"/>
      <c r="BW68" s="325"/>
      <c r="BX68" s="324"/>
      <c r="BY68" s="415"/>
      <c r="BZ68" s="415"/>
      <c r="CA68" s="415"/>
      <c r="CB68" s="313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61"/>
      <c r="CO68" s="70"/>
      <c r="CP68" s="70"/>
      <c r="CQ68" s="70"/>
    </row>
    <row r="69" spans="2:103" ht="1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4"/>
      <c r="L69" s="265"/>
      <c r="M69" s="4"/>
      <c r="N69" s="20"/>
      <c r="O69" s="119"/>
      <c r="P69" s="119"/>
      <c r="Q69" s="119"/>
      <c r="R69" s="119"/>
      <c r="S69" s="114"/>
      <c r="T69" s="16"/>
      <c r="U69" s="156" t="s">
        <v>78</v>
      </c>
      <c r="V69" s="225">
        <f>IF(H15="Imperial",          V67-(H27/12)+(H31/12),           V67-(H27/1000)+(H31/1000))</f>
        <v>8.6666666666666679</v>
      </c>
      <c r="W69" s="225"/>
      <c r="X69" s="225"/>
      <c r="Y69" s="162" t="str">
        <f>IF(H15="Imperial",    "ft",       "m")</f>
        <v>ft</v>
      </c>
      <c r="Z69" s="72"/>
      <c r="AA69" s="17"/>
      <c r="AB69" s="19"/>
      <c r="AC69" s="4"/>
      <c r="AD69" s="289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2"/>
      <c r="AT69" s="4"/>
      <c r="AU69" s="313"/>
      <c r="AV69" s="324"/>
      <c r="AW69" s="421" t="s">
        <v>67</v>
      </c>
      <c r="AX69" s="421"/>
      <c r="AY69" s="421"/>
      <c r="AZ69" s="325">
        <f>IF(H37=1,      0,       AZ63*AZ61*AZ65)</f>
        <v>369495</v>
      </c>
      <c r="BA69" s="325">
        <f>IF(H37=1,       0,       BA63*BA61*BA65)</f>
        <v>333270</v>
      </c>
      <c r="BB69" s="423">
        <f>IF(H15="Imperial",           IF(H37=1,           0,          (BB67*1728)/AZ69),           IF(H37=1,         0,          (BB67*1000000000)/AZ69))</f>
        <v>0.61507928388746813</v>
      </c>
      <c r="BC69" s="423">
        <f>IF(H15="Imperial",     IF(H37=1,       0,        (BC67*1728)/BA69),          IF(H37=1,       0,           (BC67*1000000000)/BA69))</f>
        <v>0.63845746691871463</v>
      </c>
      <c r="BD69" s="325"/>
      <c r="BE69" s="325">
        <f>IF(H37=1,      0,      BE61*BE63*BE65)</f>
        <v>313191</v>
      </c>
      <c r="BF69" s="325">
        <f>IF(H37=1,     0,         BF61*BF63*BF65)</f>
        <v>282486</v>
      </c>
      <c r="BG69" s="325">
        <f>IF(H15="Imperial",        IF(H37=1,       0,          (BG67*1728)/BE69),        IF(H37=1,       0,        (BG67*1000000000)/BE69))</f>
        <v>0.64282077071180199</v>
      </c>
      <c r="BH69" s="325">
        <f>IF(H15="Imperial",          IF(H37=1,       0,        (BH67*1728)/BF69),       IF(H37=1,         0,        (BH67*1000000000)/BF69))</f>
        <v>0.66921433274569353</v>
      </c>
      <c r="BI69" s="313"/>
      <c r="BJ69" s="313"/>
      <c r="BK69" s="428" t="s">
        <v>98</v>
      </c>
      <c r="BL69" s="428"/>
      <c r="BM69" s="428"/>
      <c r="BN69" s="417">
        <f>(BH53*1728)/BF51</f>
        <v>2124.0862921348312</v>
      </c>
      <c r="BO69" s="391"/>
      <c r="BP69" s="313"/>
      <c r="BQ69" s="313"/>
      <c r="BR69" s="313"/>
      <c r="BS69" s="313"/>
      <c r="BT69" s="313"/>
      <c r="BU69" s="380"/>
      <c r="BV69" s="380"/>
      <c r="BW69" s="325"/>
      <c r="BX69" s="324"/>
      <c r="BY69" s="415"/>
      <c r="BZ69" s="415"/>
      <c r="CA69" s="415"/>
      <c r="CB69" s="313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61"/>
      <c r="CO69" s="70"/>
      <c r="CP69" s="70"/>
      <c r="CQ69" s="70"/>
    </row>
    <row r="70" spans="2:103" ht="3.75" customHeight="1">
      <c r="B70" s="263" t="str">
        <f>IF(H47&lt;H49,"The Input Number of SedimenTraps does not match the Suggested Number of SedimenTraps. Not using the suggested number could result in Calculation Errors.",                                     IF(OR(AND(H41=V19, H41=2,  (H17+(BD13/2))&lt;=V15),  AND(H41=V19,  (H17+BH15)&lt;=V15)),       "The system storage is considerably more than the Required storage. Consider reducung the number of rows",          ""))</f>
        <v/>
      </c>
      <c r="C70" s="264"/>
      <c r="D70" s="264"/>
      <c r="E70" s="264"/>
      <c r="F70" s="264"/>
      <c r="G70" s="264"/>
      <c r="H70" s="264"/>
      <c r="I70" s="264"/>
      <c r="J70" s="264"/>
      <c r="K70" s="264"/>
      <c r="L70" s="265"/>
      <c r="M70" s="4"/>
      <c r="N70" s="113"/>
      <c r="O70" s="119"/>
      <c r="P70" s="119"/>
      <c r="Q70" s="119"/>
      <c r="R70" s="119"/>
      <c r="S70" s="119"/>
      <c r="T70" s="114"/>
      <c r="U70" s="118"/>
      <c r="V70" s="119"/>
      <c r="W70" s="119"/>
      <c r="X70" s="119"/>
      <c r="Y70" s="18"/>
      <c r="Z70" s="18"/>
      <c r="AA70" s="114"/>
      <c r="AB70" s="115"/>
      <c r="AC70" s="4"/>
      <c r="AD70" s="289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2"/>
      <c r="AT70" s="4"/>
      <c r="AU70" s="313"/>
      <c r="AV70" s="324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13"/>
      <c r="BJ70" s="313"/>
      <c r="BK70" s="313"/>
      <c r="BL70" s="313"/>
      <c r="BM70" s="313"/>
      <c r="BN70" s="313"/>
      <c r="BO70" s="381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61"/>
      <c r="CO70" s="70"/>
      <c r="CP70" s="70"/>
      <c r="CQ70" s="70"/>
    </row>
    <row r="71" spans="2:103" ht="1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5"/>
      <c r="M71" s="4"/>
      <c r="N71" s="113"/>
      <c r="O71" s="118"/>
      <c r="P71" s="156"/>
      <c r="Q71" s="156"/>
      <c r="R71" s="156"/>
      <c r="S71" s="156"/>
      <c r="T71" s="16"/>
      <c r="U71" s="156" t="s">
        <v>210</v>
      </c>
      <c r="V71" s="225">
        <f>IF(H37=1,     IF(X31=0,             V63*V65,             IF(H15="Imperial",       IF((U29+U31)=2,         IF(X29=1,         (V63*V65)-((U29*(AZ49*AZ51))/144),                  (V63*V65)-((U29*(BE49*BE51))/144)),               IF(X29=1,         (V63*V65)-((U29*(BA49*BA51))/144),                  (V63*V65)-((U29*(BF49*BF51))/144))),                IF((U29+U31)=2,         IF(X29=1,         (V63*V65)-((U29*(AZ49*AZ51))/1000000),                  (V63*V65)-((U29*(BE49*BE51))/1000000)),               IF(X29=1,         (V63*V65)-((U29*(BA49*BA51))/1000000),                  (V63*V65)-((U29*(BF49*BF51))/1000000))))),        V63*V65)</f>
        <v>448.625</v>
      </c>
      <c r="W71" s="225"/>
      <c r="X71" s="225"/>
      <c r="Y71" s="17" t="str">
        <f>IF($H$15="Imperial","Square Feet", "Square Meters")</f>
        <v>Square Feet</v>
      </c>
      <c r="Z71" s="130"/>
      <c r="AA71" s="114"/>
      <c r="AB71" s="115"/>
      <c r="AC71" s="4"/>
      <c r="AD71" s="289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2"/>
      <c r="AT71" s="4"/>
      <c r="AU71" s="313"/>
      <c r="AV71" s="324"/>
      <c r="AW71" s="409" t="str">
        <f>IF($H$37&lt;3,"","Bottom Layer")</f>
        <v/>
      </c>
      <c r="AX71" s="409"/>
      <c r="AY71" s="409" t="s">
        <v>25</v>
      </c>
      <c r="AZ71" s="409"/>
      <c r="BA71" s="409"/>
      <c r="BB71" s="409"/>
      <c r="BC71" s="409"/>
      <c r="BD71" s="409" t="s">
        <v>24</v>
      </c>
      <c r="BE71" s="409"/>
      <c r="BF71" s="409"/>
      <c r="BG71" s="409"/>
      <c r="BH71" s="409"/>
      <c r="BI71" s="313"/>
      <c r="BJ71" s="313"/>
      <c r="BK71" s="428" t="s">
        <v>99</v>
      </c>
      <c r="BL71" s="428"/>
      <c r="BM71" s="428"/>
      <c r="BN71" s="388">
        <f>(BH53*1728)/BF49</f>
        <v>2739.7634782608693</v>
      </c>
      <c r="BO71" s="381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62"/>
      <c r="CD71" s="62"/>
      <c r="CE71" s="107"/>
      <c r="CF71" s="62"/>
      <c r="CG71" s="62"/>
      <c r="CH71" s="62"/>
      <c r="CI71" s="62"/>
      <c r="CJ71" s="62"/>
      <c r="CK71" s="62"/>
      <c r="CL71" s="62"/>
      <c r="CM71" s="62"/>
      <c r="CN71" s="61"/>
      <c r="CO71" s="70"/>
      <c r="CP71" s="70"/>
      <c r="CQ71" s="70"/>
    </row>
    <row r="72" spans="2:103" ht="3.7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4"/>
      <c r="L72" s="265"/>
      <c r="M72" s="4"/>
      <c r="N72" s="113"/>
      <c r="O72" s="114"/>
      <c r="P72" s="114"/>
      <c r="Q72" s="114"/>
      <c r="R72" s="114"/>
      <c r="S72" s="114"/>
      <c r="T72" s="114"/>
      <c r="U72" s="114"/>
      <c r="V72" s="119"/>
      <c r="W72" s="119"/>
      <c r="X72" s="119"/>
      <c r="Y72" s="114"/>
      <c r="Z72" s="114"/>
      <c r="AA72" s="114"/>
      <c r="AB72" s="115"/>
      <c r="AC72" s="4"/>
      <c r="AD72" s="289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2"/>
      <c r="AT72" s="4"/>
      <c r="AU72" s="313"/>
      <c r="AV72" s="313"/>
      <c r="AW72" s="411"/>
      <c r="AX72" s="411"/>
      <c r="AY72" s="339" t="s">
        <v>8</v>
      </c>
      <c r="AZ72" s="373" t="s">
        <v>20</v>
      </c>
      <c r="BA72" s="373" t="s">
        <v>22</v>
      </c>
      <c r="BB72" s="373" t="s">
        <v>21</v>
      </c>
      <c r="BC72" s="373" t="s">
        <v>23</v>
      </c>
      <c r="BD72" s="339" t="s">
        <v>8</v>
      </c>
      <c r="BE72" s="373" t="s">
        <v>20</v>
      </c>
      <c r="BF72" s="373" t="s">
        <v>22</v>
      </c>
      <c r="BG72" s="373" t="s">
        <v>21</v>
      </c>
      <c r="BH72" s="373" t="s">
        <v>23</v>
      </c>
      <c r="BI72" s="313"/>
      <c r="BJ72" s="313"/>
      <c r="BK72" s="416"/>
      <c r="BL72" s="416"/>
      <c r="BM72" s="416"/>
      <c r="BN72" s="388"/>
      <c r="BO72" s="381"/>
      <c r="BP72" s="313"/>
      <c r="BQ72" s="313"/>
      <c r="BR72" s="313"/>
      <c r="BS72" s="313"/>
      <c r="BT72" s="313"/>
      <c r="BU72" s="313"/>
      <c r="BV72" s="313"/>
      <c r="BW72" s="313"/>
      <c r="BX72" s="313"/>
      <c r="BY72" s="313"/>
      <c r="BZ72" s="313"/>
      <c r="CA72" s="313"/>
      <c r="CB72" s="313"/>
      <c r="CC72" s="62"/>
      <c r="CD72" s="62"/>
      <c r="CE72" s="107"/>
      <c r="CF72" s="62"/>
      <c r="CG72" s="62"/>
      <c r="CH72" s="62"/>
      <c r="CI72" s="62"/>
      <c r="CJ72" s="62"/>
      <c r="CK72" s="62"/>
      <c r="CL72" s="62"/>
      <c r="CM72" s="62"/>
      <c r="CN72" s="57"/>
      <c r="CO72" s="58"/>
      <c r="CP72" s="70"/>
      <c r="CQ72" s="70"/>
      <c r="CR72" s="70"/>
      <c r="CS72" s="91"/>
      <c r="CT72" s="91"/>
    </row>
    <row r="73" spans="2:103" ht="17.25" customHeight="1">
      <c r="B73" s="263"/>
      <c r="C73" s="264"/>
      <c r="D73" s="264"/>
      <c r="E73" s="264"/>
      <c r="F73" s="264"/>
      <c r="G73" s="264"/>
      <c r="H73" s="264"/>
      <c r="I73" s="264"/>
      <c r="J73" s="264"/>
      <c r="K73" s="264"/>
      <c r="L73" s="265"/>
      <c r="M73" s="4"/>
      <c r="N73" s="127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9"/>
      <c r="AC73" s="4"/>
      <c r="AD73" s="289"/>
      <c r="AE73" s="300"/>
      <c r="AF73" s="300"/>
      <c r="AG73" s="300"/>
      <c r="AH73" s="300"/>
      <c r="AI73" s="300"/>
      <c r="AJ73" s="300"/>
      <c r="AK73" s="231"/>
      <c r="AL73" s="231"/>
      <c r="AM73" s="231"/>
      <c r="AN73" s="231"/>
      <c r="AO73" s="231"/>
      <c r="AP73" s="231"/>
      <c r="AQ73" s="231"/>
      <c r="AR73" s="231"/>
      <c r="AS73" s="232"/>
      <c r="AT73" s="4"/>
      <c r="AU73" s="313"/>
      <c r="AV73" s="313"/>
      <c r="AW73" s="412" t="str">
        <f>IF($H$37&gt;2,$H$19=1,"")</f>
        <v/>
      </c>
      <c r="AX73" s="325"/>
      <c r="AY73" s="339"/>
      <c r="AZ73" s="373"/>
      <c r="BA73" s="373"/>
      <c r="BB73" s="373"/>
      <c r="BC73" s="373"/>
      <c r="BD73" s="339"/>
      <c r="BE73" s="373"/>
      <c r="BF73" s="373"/>
      <c r="BG73" s="373"/>
      <c r="BH73" s="373"/>
      <c r="BI73" s="313"/>
      <c r="BJ73" s="313"/>
      <c r="BK73" s="416"/>
      <c r="BL73" s="416"/>
      <c r="BM73" s="416"/>
      <c r="BN73" s="388"/>
      <c r="BO73" s="381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63"/>
      <c r="CD73" s="101"/>
      <c r="CE73" s="63"/>
      <c r="CF73" s="57"/>
      <c r="CG73" s="57"/>
      <c r="CH73" s="57"/>
      <c r="CI73" s="57"/>
      <c r="CJ73" s="57"/>
      <c r="CK73" s="57"/>
      <c r="CL73" s="57"/>
      <c r="CM73" s="57"/>
      <c r="CN73" s="57"/>
      <c r="CO73" s="58"/>
      <c r="CP73" s="70"/>
      <c r="CQ73" s="70"/>
      <c r="CR73" s="70"/>
      <c r="CS73" s="91"/>
      <c r="CT73" s="91"/>
    </row>
    <row r="74" spans="2:103" ht="6.75" customHeight="1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5"/>
      <c r="M74" s="4"/>
      <c r="N74" s="252" t="s">
        <v>18</v>
      </c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4"/>
      <c r="AC74" s="4"/>
      <c r="AD74" s="289"/>
      <c r="AE74" s="300"/>
      <c r="AF74" s="300"/>
      <c r="AG74" s="300"/>
      <c r="AH74" s="300"/>
      <c r="AI74" s="300"/>
      <c r="AJ74" s="300"/>
      <c r="AK74" s="231"/>
      <c r="AL74" s="231"/>
      <c r="AM74" s="231"/>
      <c r="AN74" s="231"/>
      <c r="AO74" s="231"/>
      <c r="AP74" s="231"/>
      <c r="AQ74" s="231"/>
      <c r="AR74" s="231"/>
      <c r="AS74" s="232"/>
      <c r="AT74" s="4"/>
      <c r="AU74" s="313"/>
      <c r="AV74" s="313"/>
      <c r="AW74" s="412"/>
      <c r="AX74" s="325"/>
      <c r="AY74" s="339"/>
      <c r="AZ74" s="373"/>
      <c r="BA74" s="373"/>
      <c r="BB74" s="373"/>
      <c r="BC74" s="373"/>
      <c r="BD74" s="339"/>
      <c r="BE74" s="373"/>
      <c r="BF74" s="373"/>
      <c r="BG74" s="373"/>
      <c r="BH74" s="373"/>
      <c r="BI74" s="313"/>
      <c r="BJ74" s="313"/>
      <c r="BK74" s="416"/>
      <c r="BL74" s="416"/>
      <c r="BM74" s="416"/>
      <c r="BN74" s="388"/>
      <c r="BO74" s="381"/>
      <c r="BP74" s="313"/>
      <c r="BQ74" s="313"/>
      <c r="BR74" s="313"/>
      <c r="BS74" s="313"/>
      <c r="BT74" s="313"/>
      <c r="BU74" s="313"/>
      <c r="BV74" s="313"/>
      <c r="BW74" s="313"/>
      <c r="BX74" s="313"/>
      <c r="BY74" s="313"/>
      <c r="BZ74" s="313"/>
      <c r="CA74" s="313"/>
      <c r="CB74" s="313"/>
      <c r="CC74" s="63"/>
      <c r="CD74" s="101"/>
      <c r="CE74" s="63"/>
      <c r="CF74" s="57"/>
      <c r="CG74" s="57"/>
      <c r="CH74" s="57"/>
      <c r="CI74" s="57"/>
      <c r="CJ74" s="57"/>
      <c r="CK74" s="57"/>
      <c r="CL74" s="57"/>
      <c r="CM74" s="57"/>
      <c r="CN74" s="57"/>
      <c r="CO74" s="59"/>
      <c r="CP74" s="70"/>
      <c r="CQ74" s="70"/>
      <c r="CR74" s="70"/>
      <c r="CS74" s="91"/>
      <c r="CT74" s="91"/>
    </row>
    <row r="75" spans="2:103" ht="15.75" customHeight="1">
      <c r="B75" s="301" t="str">
        <f>IF(H15="Imperial",      IF(H19="SC-44",   IF(H29&lt;9,"Stone Foundation Depth should be 9 inches or more",    IF(H27&lt;12,   "Stone Above Chambers should be 12 inches or more",    IF(H27&gt;144,    "Stone Above Chambers should be 144 inches or less",   IF(H31&lt;22,   "Total Cover Over Chambers should be 22 inches or more",     IF(H31&gt;144,    "Total Cover Over Chambers should be 144 inches or less",  "" ))))),        IF(H29&lt;6,"Stone Foundation Depth should be 6 inches or more",IF(H27&lt;6,"Stone Above Chambers should be 6 inches or more",   IF(H27&gt;192,"Stone Above Chambers should be  192 inches or less",    IF(H31&lt;18,"Total Cover Over Chambers should be 18 inches or more",    IF(H27&gt;192,"Total Cover Over Chambers should be less than 192 inches",  "" )))))),          IF(H19="SC-44",IF(H29&lt;225,"Stone Foundation Depth should be more than 225 mm",IF(H27&lt;300,"Stone Above Chambers should be more than 300mm",IF(H27&gt;3660,"Stone Above Chambers should be 3660 mm or less",IF(H31&lt;450,"Total Cover Over Chambers should be 450 mm or more",IF(H27&gt;3660,"Total Cover Over Chambers should be 3660 mm or less",  ""))))),         IF(H29&lt;150,"Stone Foundation Depth should be 150 mm or more",IF(H27&lt;150,"Stone Above Chambers should be 150 mm or more",IF(H27&gt;4880,"Stone Above Chambers should be 4880 mm or less",IF(H31&lt;450,"Total Cover Over Chambers should be 450 mm or more",IF(H27&gt;4880,"Total Cover Over Chambers should be 4880 mm or less",  "")))))))</f>
        <v/>
      </c>
      <c r="C75" s="302"/>
      <c r="D75" s="302"/>
      <c r="E75" s="302"/>
      <c r="F75" s="302"/>
      <c r="G75" s="302"/>
      <c r="H75" s="302"/>
      <c r="I75" s="302"/>
      <c r="J75" s="302"/>
      <c r="K75" s="302"/>
      <c r="L75" s="115"/>
      <c r="M75" s="4"/>
      <c r="N75" s="255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7"/>
      <c r="AC75" s="4"/>
      <c r="AD75" s="289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2"/>
      <c r="AT75" s="4"/>
      <c r="AU75" s="313"/>
      <c r="AV75" s="313"/>
      <c r="AW75" s="412"/>
      <c r="AX75" s="343" t="str">
        <f>IF($H$15="Imperial","Height (in)","Height (mm)")</f>
        <v>Height (in)</v>
      </c>
      <c r="AY75" s="343">
        <f>IF($H$15="Imperial",          IF($H$19="SC-44",         44,         34),          IF($H$19="SC-44",         1117,        864))</f>
        <v>34</v>
      </c>
      <c r="AZ75" s="343">
        <f>IF($H$37&lt;3,          0,            $AY$75+$H$29+($H$39/2))</f>
        <v>0</v>
      </c>
      <c r="BA75" s="343">
        <f>IF($H$37&lt;3,         0,        $AY$75+$H$29+($H$39/2))</f>
        <v>0</v>
      </c>
      <c r="BB75" s="390"/>
      <c r="BC75" s="390"/>
      <c r="BD75" s="343">
        <f>IF($H$15="Imperial",        IF($H$19="SC-44",      44,       34),         IF($H$19="SC-44",        1117,      864))</f>
        <v>34</v>
      </c>
      <c r="BE75" s="343">
        <f>IF($H$37&lt;3,       0,             $BD$75+$H$29+($H$39/2))</f>
        <v>0</v>
      </c>
      <c r="BF75" s="343">
        <f>IF($H$37&lt;3,        0,          $BD$75+$H$29+($H$39/2))</f>
        <v>0</v>
      </c>
      <c r="BG75" s="390"/>
      <c r="BH75" s="390"/>
      <c r="BI75" s="313"/>
      <c r="BJ75" s="313"/>
      <c r="BK75" s="365" t="str">
        <f>IF($H$15="Imperial",            "Imperial (inches and ft)",         "Metric (mm and meters)")</f>
        <v>Imperial (inches and ft)</v>
      </c>
      <c r="BL75" s="365" t="str">
        <f>IF($H$23="Width",                "by system width",        "by system length")</f>
        <v>by system width</v>
      </c>
      <c r="BM75" s="365"/>
      <c r="BN75" s="365"/>
      <c r="BO75" s="365"/>
      <c r="BP75" s="313"/>
      <c r="BQ75" s="342" t="s">
        <v>47</v>
      </c>
      <c r="BR75" s="342"/>
      <c r="BS75" s="342"/>
      <c r="BT75" s="342"/>
      <c r="BU75" s="342"/>
      <c r="BV75" s="342"/>
      <c r="BW75" s="342"/>
      <c r="BX75" s="342"/>
      <c r="BY75" s="342"/>
      <c r="BZ75" s="343"/>
      <c r="CA75" s="343"/>
      <c r="CB75" s="313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3"/>
      <c r="CN75" s="57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4"/>
    </row>
    <row r="76" spans="2:103" ht="3.75" customHeight="1"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40"/>
      <c r="M76" s="4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60"/>
      <c r="AC76" s="4"/>
      <c r="AD76" s="289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2"/>
      <c r="AT76" s="4"/>
      <c r="AU76" s="313"/>
      <c r="AV76" s="313"/>
      <c r="AW76" s="412"/>
      <c r="AX76" s="343"/>
      <c r="AY76" s="343"/>
      <c r="AZ76" s="343"/>
      <c r="BA76" s="343"/>
      <c r="BB76" s="390"/>
      <c r="BC76" s="390"/>
      <c r="BD76" s="343"/>
      <c r="BE76" s="343"/>
      <c r="BF76" s="343"/>
      <c r="BG76" s="390"/>
      <c r="BH76" s="390"/>
      <c r="BI76" s="313"/>
      <c r="BJ76" s="313"/>
      <c r="BK76" s="365"/>
      <c r="BL76" s="365"/>
      <c r="BM76" s="365"/>
      <c r="BN76" s="365"/>
      <c r="BO76" s="365"/>
      <c r="BP76" s="313"/>
      <c r="BQ76" s="342"/>
      <c r="BR76" s="342"/>
      <c r="BS76" s="342"/>
      <c r="BT76" s="342"/>
      <c r="BU76" s="342"/>
      <c r="BV76" s="342"/>
      <c r="BW76" s="342"/>
      <c r="BX76" s="342"/>
      <c r="BY76" s="342"/>
      <c r="BZ76" s="343"/>
      <c r="CA76" s="343"/>
      <c r="CB76" s="313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212"/>
      <c r="CN76" s="57"/>
      <c r="CO76" s="70"/>
      <c r="CP76" s="58"/>
      <c r="CQ76" s="58"/>
      <c r="CR76" s="70"/>
      <c r="CS76" s="66"/>
      <c r="CT76" s="70"/>
      <c r="CU76" s="70"/>
      <c r="CV76" s="70"/>
      <c r="CW76" s="70"/>
      <c r="CX76" s="70"/>
      <c r="CY76" s="4"/>
    </row>
    <row r="77" spans="2:103" ht="15" customHeight="1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33"/>
      <c r="M77" s="4"/>
      <c r="N77" s="20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7"/>
      <c r="AB77" s="19"/>
      <c r="AC77" s="4"/>
      <c r="AD77" s="199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202"/>
      <c r="AT77" s="4"/>
      <c r="AU77" s="313"/>
      <c r="AV77" s="313"/>
      <c r="AW77" s="412"/>
      <c r="AX77" s="325" t="str">
        <f>IF($H$15="Imperial","Width (in)","Width (mm)")</f>
        <v>Width (in)</v>
      </c>
      <c r="AY77" s="325">
        <f>IF($H$15="Imperial",         IF($H$19="SC-44",       78,       60),        IF($H$19="SC-44",      1981,       1524))</f>
        <v>60</v>
      </c>
      <c r="AZ77" s="325">
        <f>IF(H15="Imperial",                AY77+($H$45/2)+(H55),                AY77+($H$45/2)+(H55))</f>
        <v>76.5</v>
      </c>
      <c r="BA77" s="325">
        <f>AY77+$H$45</f>
        <v>69</v>
      </c>
      <c r="BB77" s="407"/>
      <c r="BC77" s="325"/>
      <c r="BD77" s="325">
        <f>IF($H$15="Imperial",         IF($H$19="SC-44",       78,       60),        IF($H$19="SC-44",      1981,       1524))</f>
        <v>60</v>
      </c>
      <c r="BE77" s="325">
        <f>IF(H15="imperial",             BD77+($H$45/2)+(H55),               BD77+($H$45/2)+(H55))</f>
        <v>76.5</v>
      </c>
      <c r="BF77" s="325">
        <f>BD77+$H$45</f>
        <v>69</v>
      </c>
      <c r="BG77" s="407"/>
      <c r="BH77" s="325"/>
      <c r="BI77" s="313"/>
      <c r="BJ77" s="313"/>
      <c r="BK77" s="373" t="s">
        <v>29</v>
      </c>
      <c r="BL77" s="372" t="s">
        <v>32</v>
      </c>
      <c r="BM77" s="373" t="s">
        <v>26</v>
      </c>
      <c r="BN77" s="373" t="s">
        <v>27</v>
      </c>
      <c r="BO77" s="373" t="s">
        <v>28</v>
      </c>
      <c r="BP77" s="313"/>
      <c r="BQ77" s="354" t="s">
        <v>121</v>
      </c>
      <c r="BR77" s="354"/>
      <c r="BS77" s="354"/>
      <c r="BT77" s="354"/>
      <c r="BU77" s="354"/>
      <c r="BV77" s="354"/>
      <c r="BW77" s="354"/>
      <c r="BX77" s="354"/>
      <c r="BY77" s="354"/>
      <c r="BZ77" s="343"/>
      <c r="CA77" s="343"/>
      <c r="CB77" s="313"/>
      <c r="CC77" s="63"/>
      <c r="CD77" s="63"/>
      <c r="CE77" s="63"/>
      <c r="CF77" s="63"/>
      <c r="CG77" s="63"/>
      <c r="CH77" s="63"/>
      <c r="CI77" s="62"/>
      <c r="CJ77" s="62"/>
      <c r="CK77" s="63"/>
      <c r="CL77" s="63"/>
      <c r="CM77" s="96"/>
      <c r="CN77" s="57"/>
      <c r="CO77" s="61"/>
      <c r="CP77" s="58"/>
      <c r="CQ77" s="58"/>
      <c r="CR77" s="70"/>
      <c r="CS77" s="93"/>
      <c r="CT77" s="93"/>
      <c r="CU77" s="93"/>
      <c r="CV77" s="66"/>
      <c r="CW77" s="66"/>
      <c r="CX77" s="70"/>
      <c r="CY77" s="4"/>
    </row>
    <row r="78" spans="2:103" ht="17.25" customHeight="1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5"/>
      <c r="M78" s="4"/>
      <c r="N78" s="20"/>
      <c r="O78" s="16"/>
      <c r="P78" s="16"/>
      <c r="Q78" s="16"/>
      <c r="R78" s="16"/>
      <c r="S78" s="118"/>
      <c r="T78" s="16"/>
      <c r="U78" s="156" t="s">
        <v>215</v>
      </c>
      <c r="V78" s="226">
        <f>IF(H15="Imperial",    IF(H37=1,     (((V71*V67)-BN27)/27)+((H47*(((60*60*(60-H29))/1728)-15))/27),         IF(H37=2,    ((V63*V65*V67)-BN27-BN89)/27,        ((V63*V65*V67)-BN27-BN89-BN146)/27)),                                                                                       IF(H37=1,                                  ((V71*V67)-BN27)+(H47*(((1524*1524*1524-H29))/1000000000)-0.45),         IF(H37=2,     (V63*V65*V67)-BN27-BN89,                 (V63*V65*V67)-BN27-BN89-BN146)))</f>
        <v>104.67623456790123</v>
      </c>
      <c r="W78" s="226"/>
      <c r="X78" s="226"/>
      <c r="Y78" s="17" t="str">
        <f>IF($H$15="imperial","Cubic Yards", "Cubic Meters")</f>
        <v>Cubic Yards</v>
      </c>
      <c r="Z78" s="130"/>
      <c r="AA78" s="18"/>
      <c r="AB78" s="19"/>
      <c r="AC78" s="4"/>
      <c r="AD78" s="199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202"/>
      <c r="AT78" s="4"/>
      <c r="AU78" s="313"/>
      <c r="AV78" s="313"/>
      <c r="AW78" s="412"/>
      <c r="AX78" s="325" t="str">
        <f>IF($H$15="Imperial","Installed Length (in)","Installed Length (mm)")</f>
        <v>Installed Length (in)</v>
      </c>
      <c r="AY78" s="325">
        <f>IF($H$15="Imperial",            IF($H$19="SC-44",          81,         IF($H$19="SC-34E",         97,        93)),         IF($H$19="SC-44",         2057.4,          IF($H$19="SC-34E",          2464,          2362)))</f>
        <v>93</v>
      </c>
      <c r="AZ78" s="325">
        <f>IF(H15="Imperial",         AY78+(H55),             AY78+(H55))</f>
        <v>105</v>
      </c>
      <c r="BA78" s="325">
        <f>IF(H15="Imperial",             AY78+(H55),             AY78+(H55))</f>
        <v>105</v>
      </c>
      <c r="BB78" s="407"/>
      <c r="BC78" s="325"/>
      <c r="BD78" s="325">
        <f>IF($H$15="Imperial",         IF($H$19="SC-44",       75,         IF($H$19="SC-34E",         91,        89)),          IF($H$19="SC-44",      1905,       IF($H$19="SC-34E",        2311,        2260)))</f>
        <v>89</v>
      </c>
      <c r="BE78" s="325">
        <f>BD78</f>
        <v>89</v>
      </c>
      <c r="BF78" s="325">
        <f>BD78</f>
        <v>89</v>
      </c>
      <c r="BG78" s="407"/>
      <c r="BH78" s="325"/>
      <c r="BI78" s="313"/>
      <c r="BJ78" s="313"/>
      <c r="BK78" s="373"/>
      <c r="BL78" s="372"/>
      <c r="BM78" s="373"/>
      <c r="BN78" s="373"/>
      <c r="BO78" s="373"/>
      <c r="BP78" s="313"/>
      <c r="BQ78" s="354"/>
      <c r="BR78" s="354"/>
      <c r="BS78" s="354"/>
      <c r="BT78" s="354"/>
      <c r="BU78" s="354"/>
      <c r="BV78" s="354"/>
      <c r="BW78" s="354"/>
      <c r="BX78" s="354"/>
      <c r="BY78" s="354"/>
      <c r="BZ78" s="343" t="s">
        <v>100</v>
      </c>
      <c r="CA78" s="358" t="s">
        <v>101</v>
      </c>
      <c r="CB78" s="313"/>
      <c r="CC78" s="63"/>
      <c r="CD78" s="63"/>
      <c r="CE78" s="63"/>
      <c r="CF78" s="63"/>
      <c r="CG78" s="63"/>
      <c r="CH78" s="63"/>
      <c r="CI78" s="62"/>
      <c r="CJ78" s="62"/>
      <c r="CK78" s="63"/>
      <c r="CL78" s="63"/>
      <c r="CM78" s="212"/>
      <c r="CN78" s="57"/>
      <c r="CO78" s="61"/>
      <c r="CP78" s="59"/>
      <c r="CQ78" s="59"/>
      <c r="CR78" s="70"/>
      <c r="CS78" s="93"/>
      <c r="CT78" s="93"/>
      <c r="CU78" s="93"/>
      <c r="CV78" s="66"/>
      <c r="CW78" s="66"/>
      <c r="CX78" s="70"/>
      <c r="CY78" s="4"/>
    </row>
    <row r="79" spans="2:103" ht="17.25" customHeight="1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5"/>
      <c r="M79" s="4"/>
      <c r="N79" s="20"/>
      <c r="O79" s="16"/>
      <c r="P79" s="16"/>
      <c r="Q79" s="16"/>
      <c r="R79" s="16"/>
      <c r="S79" s="118"/>
      <c r="T79" s="16"/>
      <c r="U79" s="156" t="s">
        <v>214</v>
      </c>
      <c r="V79" s="226">
        <f>IF(H15="Imperial",      IF(H37=1,                    (V71*V67)/27,                (V63*V65*V67)/27),          IF(H37=1,           (V71*V67),      (V63*V65*V67)))</f>
        <v>127.38734567901236</v>
      </c>
      <c r="W79" s="226"/>
      <c r="X79" s="226"/>
      <c r="Y79" s="17" t="str">
        <f>IF($H$15="Imperial","Cubic Yards", "Cubic Meters")</f>
        <v>Cubic Yards</v>
      </c>
      <c r="Z79" s="130"/>
      <c r="AA79" s="17"/>
      <c r="AB79" s="19"/>
      <c r="AC79" s="4"/>
      <c r="AD79" s="199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202"/>
      <c r="AT79" s="4"/>
      <c r="AU79" s="313"/>
      <c r="AV79" s="313"/>
      <c r="AW79" s="412"/>
      <c r="AX79" s="325" t="str">
        <f>IF($H$15="Imperial","Storage Volume (ft²)","Storage Volume (m²)")</f>
        <v>Storage Volume (ft²)</v>
      </c>
      <c r="AY79" s="325">
        <f>IF($H$15="Imperial",            IF(H19="SC-44",            111.22,          IF(H19="SC3-34E",       78.24,       76.65)),                          IF(H19="SC-44",         3.15,         IF(H19="SC-34E",            2.23,        2.17)))</f>
        <v>76.650000000000006</v>
      </c>
      <c r="AZ79" s="325">
        <f>IF($H$15="Imperial",              (((AZ75*AZ77*AZ78)/1728)-AY79)*($H$33/100),              ((((AZ75*AZ77*AZ78)/1000000000)-AY79)*($H$33/100)))</f>
        <v>-30.660000000000004</v>
      </c>
      <c r="BA79" s="325">
        <f>IF($H$15="Imperial",                    ((((BA75*BA77*AY78)/1728)-AY79)*($H$33/100)),                     ((((BA75*BA77*AY78)/1000000000)-AY79)*($H$33/100))+0.18)</f>
        <v>-30.660000000000004</v>
      </c>
      <c r="BB79" s="325">
        <f>AY79+AZ79</f>
        <v>45.99</v>
      </c>
      <c r="BC79" s="325">
        <f>AY79+BA79</f>
        <v>45.99</v>
      </c>
      <c r="BD79" s="325">
        <f>IF($H$15="Imperial",          IF(H19="SC-44",          105,            IF(H19="SC-34E",       75,         76.65)),                      IF(H19="SC-44",           2.97,              IF(H19="SC-34E",         2.12,       2.08)))</f>
        <v>76.650000000000006</v>
      </c>
      <c r="BE79" s="325">
        <f>IF($H$15="Imperial",                   IF(H19="SC-44",                    ((((BE75*BE77*BE78)/1728)-BD79)*($H$33/100)),                              ((((BE75*BE77*BE78)/1728)-BD79)*($H$33/100))),                                                IF(H19="SC-44",                                             ((((BE75*BE77*BE78)/1000000000)-BD79)*($H$33/100)),              ((((BE75*BE77*BE78)/1000000000)-BD79)*($H$33/100))))</f>
        <v>-30.660000000000004</v>
      </c>
      <c r="BF79" s="325">
        <f>IF($H$15="Imperial",                  IF(H19="SC-44",                     ((((BF75*BF77*BF78)/1728)-BD79)*($H$33/100)),                                  ((((BF75*BF77*BF78)/1728)-BD79)*($H$33/100))),                                                                 IF(H19="SC-44",                                                              ((((BF75*BF77*BF78)/1000000000)-BD79)*($H$33/100)),                  ((((BF75*BF77*BF78)/1000000000)-BD79)*($H$33/100))))</f>
        <v>-30.660000000000004</v>
      </c>
      <c r="BG79" s="325">
        <f>BD79+BE79</f>
        <v>45.99</v>
      </c>
      <c r="BH79" s="325">
        <f>BD79+BF79</f>
        <v>45.99</v>
      </c>
      <c r="BI79" s="313"/>
      <c r="BJ79" s="313"/>
      <c r="BK79" s="373"/>
      <c r="BL79" s="381">
        <f>IF(BQ81=0,      0,            IF(BT114=0,       0,           IF(BT114=1,                 IF(BT118=1,       1,    2),                IF(BT114&lt;=BT113,            IF(BT118=1,       2,       4),                                                                    IF(BT115=1,          IF(BT118=1,            1,         IF(BT118=2,       3,     4)),       IF(BT118=1,          2,        4))))))</f>
        <v>2</v>
      </c>
      <c r="BM79" s="381">
        <f>IF(BL79=0,                 0,                   IF(BL79=1,                  AZ19+AZ21,                       IF(BL79=2,                       IF(BO92=1,                     BG19+BG21,                         BD19+BD21),                        IF(BL79=3,                                                    IF(H15="Imperial",                                                BD19+AZ19+(((AZ61*(AZ5+H55)*(H55-4.5))/1728)*(H33/100))+(((AZ61*(AY63+H45)*H55)/1728)*(H33/100)),                                                                                                                   BD19+AZ19+(((AZ61*(AZ5+H55)*(H55-115))/1000000000)*(H33/100))+(((AZ61*(AY63+H45)*H55)/1000000000)*(H33/100))),                       AZ67*4))))</f>
        <v>137.05383333333336</v>
      </c>
      <c r="BN79" s="381">
        <f>IF(BL79=0,           0,            IF(BL79=1,                 AZ7,                IF(BL79=2,               IF(BO92=1,             BD7,             BG7),          IF(BL79=3,         (2*AY67)+AZ7,             4*AY67))))</f>
        <v>153.30000000000001</v>
      </c>
      <c r="BO79" s="381">
        <f>BM79+BN79</f>
        <v>290.35383333333334</v>
      </c>
      <c r="BP79" s="313"/>
      <c r="BQ79" s="361" t="str">
        <f>IF($H$15="Imperial",       "Required Cubic Feet",       "Required Cubic Meters")</f>
        <v>Required Cubic Feet</v>
      </c>
      <c r="BR79" s="361" t="str">
        <f>IF($H$15="Imperial",       "Required Cubic Inches",       "Required Cubic mm")</f>
        <v>Required Cubic Inches</v>
      </c>
      <c r="BS79" s="361" t="str">
        <f>IF(BT2=1,       "Constraint Dimension (Width)",       "Constraint Dimension (Length)")</f>
        <v>Constraint Dimension (Width)</v>
      </c>
      <c r="BT79" s="361" t="str">
        <f>IF(BT2=1,       "(Constraint Width-2endR Width)/midR Width",       "(Constriant Length-2endC length)/midC length")</f>
        <v>(Constraint Width-2endR Width)/midR Width</v>
      </c>
      <c r="BU79" s="361"/>
      <c r="BV79" s="361" t="str">
        <f>IF(BT2=1,       "RoundDown for Maximum Number of midR",       "RoundDown for Maximum Number of midCs per Row")</f>
        <v>RoundDown for Maximum Number of midR</v>
      </c>
      <c r="BW79" s="361"/>
      <c r="BX79" s="361" t="str">
        <f>IF(BT2=1,       "Max suggested Number of Rows",      "Maximum Number of Chambers per Row")</f>
        <v>Max suggested Number of Rows</v>
      </c>
      <c r="BY79" s="361"/>
      <c r="BZ79" s="343"/>
      <c r="CA79" s="358"/>
      <c r="CB79" s="313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96"/>
      <c r="CN79" s="57"/>
      <c r="CO79" s="57"/>
      <c r="CP79" s="70"/>
      <c r="CQ79" s="70"/>
      <c r="CR79" s="66"/>
      <c r="CS79" s="70"/>
      <c r="CT79" s="91"/>
      <c r="CU79" s="91"/>
    </row>
    <row r="80" spans="2:103" ht="15.75" customHeight="1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5"/>
      <c r="M80" s="4"/>
      <c r="N80" s="20"/>
      <c r="O80" s="16"/>
      <c r="P80" s="16"/>
      <c r="Q80" s="16"/>
      <c r="R80" s="16"/>
      <c r="S80" s="118"/>
      <c r="T80" s="16"/>
      <c r="U80" s="156" t="s">
        <v>19</v>
      </c>
      <c r="V80" s="226">
        <f>IF(H15="Imperial",                IF(H51="yes",                  ((((V63*V65)+(2*((V63+4)*(V65+4))))+(2*((2*(V65+4)*(V67+2))+(2*(V63+4)*(V67+2)))))/9)   +      (((2*(2*V63*((ROUNDUP((V65-2)/10.5,0)-1))))+(2*(V63+4)*((ROUNDUP((V65+2)/10.5,0)-1))))/9),                          (((V63*V65)+(2*(V65+4)*(V67+2))+(2*(V63+4)*(V67+2)))/9)   +   ((2*V63*((ROUNDUP((V65-2)/10.5,0)-1)))/9)   ),                                                                                                                                                                                                               IF(H51="yes",                                  ((((V63*V65)+(2*((V63+1.22)*(V65+1.22))))+(2*((2*(V65+1.22)*(V67+0.61))+(2*(V63+1.22)*(V67+0.61)))))   +    (((2*(0.61*V63*((ROUNDUP((V65-0.61)/3.2,0)-1)))))+(0.61*(V63+1.22)*((ROUNDUP((V65+0.61)/3.2,0)-1))))),         ((V63*V65)+(2*(V65+1.22)*(V67+0.61))+(2*(V63+1.22)*(V67+0.61))  +  (0.61*V63*((ROUNDUP((V65-0.61)/3.2,0)-1))))          ))</f>
        <v>167.08796296296299</v>
      </c>
      <c r="W80" s="226"/>
      <c r="X80" s="226"/>
      <c r="Y80" s="17" t="str">
        <f>IF($H$15="Imperial","Square Yards", "Square Meters")</f>
        <v>Square Yards</v>
      </c>
      <c r="Z80" s="130"/>
      <c r="AA80" s="18"/>
      <c r="AB80" s="19"/>
      <c r="AC80" s="4"/>
      <c r="AD80" s="199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202"/>
      <c r="AT80" s="4"/>
      <c r="AU80" s="313"/>
      <c r="AV80" s="313"/>
      <c r="AW80" s="421" t="s">
        <v>67</v>
      </c>
      <c r="AX80" s="421"/>
      <c r="AY80" s="421"/>
      <c r="AZ80" s="325">
        <f>IF(H37&lt;3,       0,         AZ77*AZ75*AZ78)</f>
        <v>0</v>
      </c>
      <c r="BA80" s="325">
        <f>IF(H37&lt;3,      0,        BA77*BA75*BA78)</f>
        <v>0</v>
      </c>
      <c r="BB80" s="423">
        <f>IF(H15="Imperial",         IF(H37&lt;3,        0,           (BB79*1728)/AZ80),           IF(H37&lt;3,       0,            (BB79*1000000000)/AZ80))</f>
        <v>0</v>
      </c>
      <c r="BC80" s="423">
        <f>IF(H15="Imperial",         IF(H37&lt;3,       0,          (BC79*1728)/BA80),         IF(H37&lt;3,        0,         (BC79*1000000000)/BA80))</f>
        <v>0</v>
      </c>
      <c r="BD80" s="325"/>
      <c r="BE80" s="325">
        <f>IF(H37&lt;3,      0,         BE75*BE77*BE78)</f>
        <v>0</v>
      </c>
      <c r="BF80" s="325">
        <f>IF(H37&lt;3,          0,        BF75*BF77*BF78)</f>
        <v>0</v>
      </c>
      <c r="BG80" s="325">
        <f>IF(H15="Imperial",         IF(H37&lt;3,         0,           (BG79*1728)/BE80),          IF(H37&lt;3,         0,         (BG79*1000000000)/BE80))</f>
        <v>0</v>
      </c>
      <c r="BH80" s="325">
        <f>IF(H15="Imperial",        IF(H37&lt;3,      0,         (BH79*1728)/BF80),        IF(H37&lt;3,         0,          (BH79*1000000000)/BF80))</f>
        <v>0</v>
      </c>
      <c r="BI80" s="313"/>
      <c r="BJ80" s="313"/>
      <c r="BK80" s="373" t="s">
        <v>30</v>
      </c>
      <c r="BL80" s="372" t="s">
        <v>32</v>
      </c>
      <c r="BM80" s="373" t="s">
        <v>26</v>
      </c>
      <c r="BN80" s="373" t="s">
        <v>27</v>
      </c>
      <c r="BO80" s="373" t="s">
        <v>28</v>
      </c>
      <c r="BP80" s="313"/>
      <c r="BQ80" s="361"/>
      <c r="BR80" s="361"/>
      <c r="BS80" s="361"/>
      <c r="BT80" s="361"/>
      <c r="BU80" s="361"/>
      <c r="BV80" s="361"/>
      <c r="BW80" s="361"/>
      <c r="BX80" s="361"/>
      <c r="BY80" s="361"/>
      <c r="BZ80" s="375">
        <f>IF(BT2=1,         IF(H15="Imperial",          IF(BX81=1,    (AZ63+H55-4.5)/12,   ((2*AZ63)+((BX81-2)*BA63))/12),             IF(BX81=1,        (AZ63+H55-115)/1000,      ((2*AZ63)+((BX81-2)*BA63))/1000)),                                     IF(H15="Imperial",          IF(BU88=1,     (AZ63+H55-4.5)/12,      ((2*AZ63)+((BU88-2)*BA63))/12),             IF(BU88=1,        (AZ63+H55-115)/1000,      ((2*AZ63)+((BU88-2)*BA63))/1000)))</f>
        <v>47.25</v>
      </c>
      <c r="CA80" s="375" t="str">
        <f>IF(BT2=1,         "N/A",             IF(H15="Imperial",               IF(BX81=1,        (AZ5+H55+H55)/12,           ((2*AZ65)+((BX81-2)*BE65))/12),                                                                                                                                                              IF(BX81=1,                                                   (AZ5+H55+H55)/1000,      ((2*AZ65)+((BX81-2)*BE65))/1000)))</f>
        <v>N/A</v>
      </c>
      <c r="CB80" s="313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86"/>
      <c r="CN80" s="57"/>
      <c r="CO80" s="57"/>
      <c r="CP80" s="70"/>
      <c r="CQ80" s="70"/>
      <c r="CR80" s="66"/>
      <c r="CS80" s="70"/>
      <c r="CT80" s="91"/>
      <c r="CU80" s="91"/>
    </row>
    <row r="81" spans="2:103" ht="15" customHeight="1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5"/>
      <c r="M81" s="4"/>
      <c r="N81" s="20"/>
      <c r="O81" s="16"/>
      <c r="P81" s="16"/>
      <c r="Q81" s="16"/>
      <c r="R81" s="16"/>
      <c r="S81" s="118"/>
      <c r="T81" s="16"/>
      <c r="U81" s="156" t="s">
        <v>202</v>
      </c>
      <c r="V81" s="227">
        <f>H53</f>
        <v>2</v>
      </c>
      <c r="W81" s="227"/>
      <c r="X81" s="227"/>
      <c r="Y81" s="17" t="s">
        <v>57</v>
      </c>
      <c r="Z81" s="130"/>
      <c r="AA81" s="17"/>
      <c r="AB81" s="19"/>
      <c r="AC81" s="4"/>
      <c r="AD81" s="199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202"/>
      <c r="AT81" s="4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73"/>
      <c r="BL81" s="372"/>
      <c r="BM81" s="373"/>
      <c r="BN81" s="373"/>
      <c r="BO81" s="373"/>
      <c r="BP81" s="313"/>
      <c r="BQ81" s="343">
        <f>IF($H$37=1,       0,           IF(H17-BO152&lt;=0,       0,          IF($H$37=2,      H17/2,               IF($H$37=3,       ($H$17-BO152)/2,        0))))</f>
        <v>500</v>
      </c>
      <c r="BR81" s="377">
        <f>IF($H$15="Imperial",         BQ81*1728,        BQ81*1000000000)</f>
        <v>864000</v>
      </c>
      <c r="BS81" s="343">
        <f>IF(H37=1,            0,            IF(H37=2,          H25,           IF(BT2=1,         BO153,         BO154)))</f>
        <v>50</v>
      </c>
      <c r="BT81" s="343">
        <f>IF($H$15="Imperial",                    IF(BT2=1,              ((BS81*12)-(2*AZ63))/BA63,                                    ((BS81*12)-(2*AZ65))/BE65),                                                                                                                                                                            IF(BT2=1,                                                                                                                     ((BS81*1000)-(2*AZ63))/BA63,                                ((BS81*1000)-(2*AZ65))/BE65))</f>
        <v>6.4782608695652177</v>
      </c>
      <c r="BU81" s="343"/>
      <c r="BV81" s="343">
        <f>IF(BT81&lt;0,        0,          ROUNDDOWN(BT81,0))</f>
        <v>6</v>
      </c>
      <c r="BW81" s="343"/>
      <c r="BX81" s="343">
        <f>IF(BQ81&lt;=AZ23,     1,    IF(H15="Imperial",      IF(BT2=1,         IF(BS81&lt;(((2*AZ63)/12)),      1,     BV81+2),           IF(BS81&lt;(((2*AZ65)/12)),      1,    BV81+2)),                                                                                        IF(BT2=1,                                                                                                       IF(BS81&lt;(((2*AZ63)/1000)),     1,     BV81+2),             IF(BS81&lt;(((2*AZ65)/1000)),       1,     BV81+2))))</f>
        <v>8</v>
      </c>
      <c r="BY81" s="343"/>
      <c r="BZ81" s="375"/>
      <c r="CA81" s="375"/>
      <c r="CB81" s="313"/>
      <c r="CC81" s="63"/>
      <c r="CD81" s="63"/>
      <c r="CE81" s="63"/>
      <c r="CF81" s="63"/>
      <c r="CG81" s="63"/>
      <c r="CH81" s="63"/>
      <c r="CI81" s="63"/>
      <c r="CJ81" s="66"/>
      <c r="CK81" s="66"/>
      <c r="CL81" s="66"/>
      <c r="CM81" s="86"/>
      <c r="CN81" s="57"/>
      <c r="CO81" s="93"/>
      <c r="CP81" s="61"/>
      <c r="CQ81" s="61"/>
      <c r="CR81" s="61"/>
      <c r="CS81" s="70"/>
      <c r="CT81" s="91"/>
      <c r="CU81" s="91"/>
    </row>
    <row r="82" spans="2:103" ht="18" customHeight="1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5"/>
      <c r="M82" s="4"/>
      <c r="N82" s="20"/>
      <c r="O82" s="16"/>
      <c r="P82" s="118"/>
      <c r="Q82" s="16"/>
      <c r="R82" s="16"/>
      <c r="S82" s="118"/>
      <c r="T82" s="25"/>
      <c r="U82" s="24" t="s">
        <v>55</v>
      </c>
      <c r="V82" s="228">
        <f>IF(H51="yes",           IF(H15="Imperial",             ((V63+(2*V67)+10)*(V65+(2*V67)+10))/9,                (V63+(2*V67)+3.05)*(V65+(2*V67)+3.05)),            0)</f>
        <v>0</v>
      </c>
      <c r="W82" s="228"/>
      <c r="X82" s="228"/>
      <c r="Y82" s="42" t="str">
        <f>IF($H$15="Imperial","Square Yards", "Square Meters")</f>
        <v>Square Yards</v>
      </c>
      <c r="Z82" s="167"/>
      <c r="AA82" s="16"/>
      <c r="AB82" s="19"/>
      <c r="AC82" s="4"/>
      <c r="AD82" s="199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202"/>
      <c r="AT82" s="4"/>
      <c r="AU82" s="313"/>
      <c r="AV82" s="313"/>
      <c r="AW82" s="430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13"/>
      <c r="BJ82" s="313"/>
      <c r="BK82" s="373"/>
      <c r="BL82" s="386">
        <f>IF(H37&lt;2,     0,         IF(BT114&lt;=1,        IF(BT118&lt;=2,       0,             BT109),          IF(BT114&lt;=BT113,       BT114*BT109,            IF(BT115=1,         BT109+BT99,        2*BT99))))</f>
        <v>0</v>
      </c>
      <c r="BM82" s="417">
        <f>BL82*BE67</f>
        <v>0</v>
      </c>
      <c r="BN82" s="388">
        <f>BL82*BD67</f>
        <v>0</v>
      </c>
      <c r="BO82" s="381">
        <f>IF(BL82=0,                   0,                     IF(BO92=1,                    IF(H15="Imperial",                    BM82+BN82+(BL82*((((H55-4.5)*BE61*BE65)/1728)*(H33/100))),                                                                                                             BM82+BN82+(BL82*((((H55-115)*BE61*BE65)/1000000000)*(H33/100)))),         BM82+BN82))</f>
        <v>0</v>
      </c>
      <c r="BP82" s="313"/>
      <c r="BQ82" s="343"/>
      <c r="BR82" s="377"/>
      <c r="BS82" s="343"/>
      <c r="BT82" s="343"/>
      <c r="BU82" s="343"/>
      <c r="BV82" s="343"/>
      <c r="BW82" s="343"/>
      <c r="BX82" s="343"/>
      <c r="BY82" s="343"/>
      <c r="BZ82" s="431"/>
      <c r="CA82" s="431"/>
      <c r="CB82" s="313"/>
      <c r="CC82" s="63"/>
      <c r="CD82" s="63"/>
      <c r="CE82" s="63"/>
      <c r="CF82" s="63"/>
      <c r="CG82" s="63"/>
      <c r="CH82" s="63"/>
      <c r="CI82" s="63"/>
      <c r="CJ82" s="66"/>
      <c r="CK82" s="66"/>
      <c r="CL82" s="66"/>
      <c r="CM82" s="96"/>
      <c r="CN82" s="57"/>
      <c r="CO82" s="93"/>
      <c r="CP82" s="61"/>
      <c r="CQ82" s="61"/>
      <c r="CR82" s="61"/>
      <c r="CS82" s="70"/>
      <c r="CT82" s="91"/>
      <c r="CU82" s="91"/>
    </row>
    <row r="83" spans="2:103" ht="15.75" customHeight="1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5"/>
      <c r="M83" s="4"/>
      <c r="N83" s="20"/>
      <c r="O83" s="16"/>
      <c r="P83" s="16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42"/>
      <c r="AB83" s="19"/>
      <c r="AC83" s="4"/>
      <c r="AD83" s="304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7"/>
      <c r="AT83" s="4"/>
      <c r="AU83" s="313"/>
      <c r="AV83" s="313"/>
      <c r="AW83" s="313"/>
      <c r="AX83" s="313"/>
      <c r="AY83" s="313"/>
      <c r="AZ83" s="313"/>
      <c r="BA83" s="313"/>
      <c r="BB83" s="313"/>
      <c r="BC83" s="313"/>
      <c r="BD83" s="313"/>
      <c r="BE83" s="313"/>
      <c r="BF83" s="313"/>
      <c r="BG83" s="313"/>
      <c r="BH83" s="313"/>
      <c r="BI83" s="313"/>
      <c r="BJ83" s="313"/>
      <c r="BK83" s="373" t="s">
        <v>31</v>
      </c>
      <c r="BL83" s="372" t="s">
        <v>32</v>
      </c>
      <c r="BM83" s="373" t="s">
        <v>26</v>
      </c>
      <c r="BN83" s="373" t="s">
        <v>27</v>
      </c>
      <c r="BO83" s="373" t="s">
        <v>28</v>
      </c>
      <c r="BP83" s="313"/>
      <c r="BQ83" s="358" t="s">
        <v>220</v>
      </c>
      <c r="BR83" s="358"/>
      <c r="BS83" s="358"/>
      <c r="BT83" s="358"/>
      <c r="BU83" s="358"/>
      <c r="BV83" s="358"/>
      <c r="BW83" s="358"/>
      <c r="BX83" s="358"/>
      <c r="BY83" s="358"/>
      <c r="BZ83" s="431"/>
      <c r="CA83" s="431"/>
      <c r="CB83" s="313"/>
      <c r="CC83" s="62"/>
      <c r="CD83" s="62"/>
      <c r="CE83" s="62"/>
      <c r="CF83" s="62"/>
      <c r="CG83" s="62"/>
      <c r="CH83" s="62"/>
      <c r="CI83" s="62"/>
      <c r="CJ83" s="62"/>
      <c r="CK83" s="66"/>
      <c r="CL83" s="66"/>
      <c r="CM83" s="86"/>
      <c r="CN83" s="61"/>
      <c r="CO83" s="66"/>
      <c r="CP83" s="57"/>
      <c r="CQ83" s="66"/>
      <c r="CR83" s="70"/>
      <c r="CS83" s="70"/>
    </row>
    <row r="84" spans="2:103" ht="5.25" customHeight="1">
      <c r="B84" s="244"/>
      <c r="C84" s="245"/>
      <c r="D84" s="245"/>
      <c r="E84" s="245"/>
      <c r="F84" s="245"/>
      <c r="G84" s="245"/>
      <c r="H84" s="245"/>
      <c r="I84" s="245"/>
      <c r="J84" s="245"/>
      <c r="K84" s="245"/>
      <c r="L84" s="246"/>
      <c r="M84" s="4"/>
      <c r="N84" s="43"/>
      <c r="O84" s="44"/>
      <c r="P84" s="44"/>
      <c r="Q84" s="44"/>
      <c r="R84" s="44"/>
      <c r="S84" s="45"/>
      <c r="T84" s="44"/>
      <c r="U84" s="44"/>
      <c r="V84" s="44"/>
      <c r="W84" s="44"/>
      <c r="X84" s="44"/>
      <c r="Y84" s="44"/>
      <c r="Z84" s="44"/>
      <c r="AA84" s="44"/>
      <c r="AB84" s="46"/>
      <c r="AC84" s="4"/>
      <c r="AD84" s="305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8"/>
      <c r="AT84" s="4"/>
      <c r="AU84" s="313"/>
      <c r="AV84" s="313"/>
      <c r="AW84" s="358"/>
      <c r="AX84" s="358"/>
      <c r="AY84" s="358"/>
      <c r="AZ84" s="358"/>
      <c r="BA84" s="358"/>
      <c r="BB84" s="358"/>
      <c r="BC84" s="358"/>
      <c r="BD84" s="358"/>
      <c r="BE84" s="358"/>
      <c r="BF84" s="358"/>
      <c r="BG84" s="358"/>
      <c r="BH84" s="358"/>
      <c r="BI84" s="313"/>
      <c r="BJ84" s="313"/>
      <c r="BK84" s="373"/>
      <c r="BL84" s="372"/>
      <c r="BM84" s="373"/>
      <c r="BN84" s="373"/>
      <c r="BO84" s="373"/>
      <c r="BP84" s="313"/>
      <c r="BQ84" s="358"/>
      <c r="BR84" s="358"/>
      <c r="BS84" s="358"/>
      <c r="BT84" s="358"/>
      <c r="BU84" s="358"/>
      <c r="BV84" s="358"/>
      <c r="BW84" s="358"/>
      <c r="BX84" s="358"/>
      <c r="BY84" s="358"/>
      <c r="BZ84" s="431"/>
      <c r="CA84" s="431"/>
      <c r="CB84" s="313"/>
      <c r="CC84" s="62"/>
      <c r="CD84" s="62"/>
      <c r="CE84" s="62"/>
      <c r="CF84" s="62"/>
      <c r="CG84" s="62"/>
      <c r="CH84" s="62"/>
      <c r="CI84" s="62"/>
      <c r="CJ84" s="62"/>
      <c r="CK84" s="66"/>
      <c r="CL84" s="66"/>
      <c r="CM84" s="86"/>
      <c r="CN84" s="61"/>
      <c r="CO84" s="66"/>
      <c r="CP84" s="57"/>
      <c r="CQ84" s="66"/>
      <c r="CR84" s="70"/>
      <c r="CS84" s="70"/>
    </row>
    <row r="85" spans="2:103" ht="15" customHeight="1">
      <c r="M85" s="4"/>
      <c r="N85" s="7"/>
      <c r="AB85" s="7"/>
      <c r="AC85" s="4"/>
      <c r="AD85" s="4"/>
      <c r="AE85" s="8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313"/>
      <c r="AV85" s="313"/>
      <c r="AW85" s="354" t="s">
        <v>5</v>
      </c>
      <c r="AX85" s="354"/>
      <c r="AY85" s="382" t="str">
        <f>IF($H$15="Imperial","Installed Height (in)","Installed Height (mm)")</f>
        <v>Installed Height (in)</v>
      </c>
      <c r="AZ85" s="382" t="str">
        <f>IF($H$15="Imperial","Width (in)","Width (mm)")</f>
        <v>Width (in)</v>
      </c>
      <c r="BA85" s="382" t="str">
        <f>IF($H$15="Imperial","Storage Width (in)","Storage Width (mm)")</f>
        <v>Storage Width (in)</v>
      </c>
      <c r="BB85" s="382" t="str">
        <f>IF($H$15="Imperial","Length (in)","Length (mm)")</f>
        <v>Length (in)</v>
      </c>
      <c r="BC85" s="382" t="str">
        <f>IF($H$15="Imperial","Storage Volume (ft²)","Storage Volume (m²)")</f>
        <v>Storage Volume (ft²)</v>
      </c>
      <c r="BD85" s="383"/>
      <c r="BE85" s="383"/>
      <c r="BF85" s="432" t="s">
        <v>59</v>
      </c>
      <c r="BG85" s="432"/>
      <c r="BH85" s="432"/>
      <c r="BI85" s="313"/>
      <c r="BJ85" s="313"/>
      <c r="BK85" s="373"/>
      <c r="BL85" s="386">
        <f>IF(H37&lt;2,      0,     IF(BT94=0,      0,      IF(BT114&lt;=BT113,               IF(BT118=1,        BT94,      2*BT94),               IF(BT115&lt;=2,             IF(BT117=0,           0,         IF(BT117=1,        BT94,      2*BT94)),            IF(BT117=0,             BT114-BT115,            IF(BT117=1,             BT94+(BT114-BT115),           2*BT94))))))</f>
        <v>0</v>
      </c>
      <c r="BM85" s="417">
        <f>IF(BL85=0,     0,          IF(BO93=1,          BL85*(BH19+BH23),             IF(BO93=2,                IF(BQ109&lt;=2,         BL85*BA67,         ((BL85-1)*BA67)+(BH19+BH23)),       BL85*BA67)))</f>
        <v>0</v>
      </c>
      <c r="BN85" s="388">
        <f>IF(BL85=0,     0,          IF(BO93=1,          BL85*AZ7,             IF(BO93=2,                IF(BQ109&lt;=2,         BL85*AY67,         ((BL85-1)*AY67)+AZ7),       BL85*AY67)))</f>
        <v>0</v>
      </c>
      <c r="BO85" s="381">
        <f>BM85+BN85</f>
        <v>0</v>
      </c>
      <c r="BP85" s="313"/>
      <c r="BQ85" s="361" t="str">
        <f>IF(BT2=1,    "",      "number of endCs per fullR*endRendCvolumes")</f>
        <v/>
      </c>
      <c r="BR85" s="361" t="str">
        <f>IF(BT2=1,       "",      "Max number of midC per fullR*endRmidC Volume")</f>
        <v/>
      </c>
      <c r="BS85" s="361"/>
      <c r="BT85" s="361" t="str">
        <f>IF(BT2=1,     "",      "Number of End Rows")</f>
        <v/>
      </c>
      <c r="BU85" s="361" t="str">
        <f>IF(BT2=1,        "",     "min number of rows suggested")</f>
        <v/>
      </c>
      <c r="BV85" s="361"/>
      <c r="BW85" s="358" t="s">
        <v>124</v>
      </c>
      <c r="BX85" s="358"/>
      <c r="BY85" s="358"/>
      <c r="BZ85" s="431"/>
      <c r="CA85" s="431"/>
      <c r="CB85" s="313"/>
      <c r="CC85" s="96"/>
      <c r="CD85" s="96"/>
      <c r="CE85" s="63"/>
      <c r="CF85" s="63"/>
      <c r="CG85" s="63"/>
      <c r="CH85" s="63"/>
      <c r="CI85" s="96"/>
      <c r="CJ85" s="62"/>
      <c r="CK85" s="66"/>
      <c r="CL85" s="66"/>
      <c r="CM85" s="106"/>
      <c r="CN85" s="57"/>
      <c r="CO85" s="66"/>
      <c r="CP85" s="66"/>
      <c r="CQ85" s="66"/>
      <c r="CR85" s="70"/>
      <c r="CS85" s="70"/>
    </row>
    <row r="86" spans="2:103" ht="14.25" customHeight="1">
      <c r="B86" s="4"/>
      <c r="C86" s="8"/>
      <c r="D86" s="8"/>
      <c r="E86" s="8"/>
      <c r="F86" s="8"/>
      <c r="G86" s="8"/>
      <c r="H86" s="8"/>
      <c r="I86" s="8"/>
      <c r="J86" s="4"/>
      <c r="K86" s="4"/>
      <c r="L86" s="4"/>
      <c r="M86" s="4"/>
      <c r="N86" s="10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"/>
      <c r="Z86" s="4"/>
      <c r="AA86" s="4"/>
      <c r="AB86" s="4"/>
      <c r="AC86" s="4"/>
      <c r="AD86" s="4"/>
      <c r="AE86" s="8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13"/>
      <c r="AV86" s="313"/>
      <c r="AW86" s="354"/>
      <c r="AX86" s="354"/>
      <c r="AY86" s="382"/>
      <c r="AZ86" s="382"/>
      <c r="BA86" s="382"/>
      <c r="BB86" s="382"/>
      <c r="BC86" s="382"/>
      <c r="BD86" s="383"/>
      <c r="BE86" s="383"/>
      <c r="BF86" s="432"/>
      <c r="BG86" s="432"/>
      <c r="BH86" s="432"/>
      <c r="BI86" s="313"/>
      <c r="BJ86" s="313"/>
      <c r="BK86" s="373" t="s">
        <v>38</v>
      </c>
      <c r="BL86" s="372" t="s">
        <v>32</v>
      </c>
      <c r="BM86" s="373" t="s">
        <v>26</v>
      </c>
      <c r="BN86" s="373" t="s">
        <v>27</v>
      </c>
      <c r="BO86" s="373" t="s">
        <v>28</v>
      </c>
      <c r="BP86" s="313"/>
      <c r="BQ86" s="361"/>
      <c r="BR86" s="361"/>
      <c r="BS86" s="361"/>
      <c r="BT86" s="361"/>
      <c r="BU86" s="361"/>
      <c r="BV86" s="361"/>
      <c r="BW86" s="358"/>
      <c r="BX86" s="358"/>
      <c r="BY86" s="358"/>
      <c r="BZ86" s="431"/>
      <c r="CA86" s="431"/>
      <c r="CB86" s="313"/>
      <c r="CC86" s="63"/>
      <c r="CD86" s="63"/>
      <c r="CE86" s="63"/>
      <c r="CF86" s="63"/>
      <c r="CG86" s="63"/>
      <c r="CH86" s="63"/>
      <c r="CI86" s="63"/>
      <c r="CJ86" s="62"/>
      <c r="CK86" s="66"/>
      <c r="CL86" s="66"/>
      <c r="CM86" s="66"/>
      <c r="CN86" s="57"/>
      <c r="CO86" s="66"/>
      <c r="CP86" s="66"/>
      <c r="CQ86" s="66"/>
      <c r="CR86" s="70"/>
      <c r="CS86" s="70"/>
    </row>
    <row r="87" spans="2:103" ht="15" customHeight="1">
      <c r="B87" s="165">
        <f>H31</f>
        <v>18</v>
      </c>
      <c r="C87" s="8" t="str">
        <f>IF(H15="Imperial",    "Inches",  "mm")</f>
        <v>Inches</v>
      </c>
      <c r="D87" s="8"/>
      <c r="E87" s="8"/>
      <c r="F87" s="8"/>
      <c r="G87" s="8"/>
      <c r="J87" s="112"/>
      <c r="K87" s="8"/>
      <c r="L87" s="8"/>
      <c r="M87" s="8"/>
      <c r="N87" s="8"/>
      <c r="O87" s="4"/>
      <c r="P87" s="4"/>
      <c r="Q87" s="4"/>
      <c r="R87" s="4"/>
      <c r="S87" s="4"/>
      <c r="T87" s="4"/>
      <c r="U87" s="4"/>
      <c r="V87" s="4"/>
      <c r="W87" s="4"/>
      <c r="X87" s="4"/>
      <c r="Y87" s="165">
        <f>H31</f>
        <v>18</v>
      </c>
      <c r="Z87" s="8" t="str">
        <f>IF(H15="Imperial",    "Inches",  "mm")</f>
        <v>Inches</v>
      </c>
      <c r="AB87" s="8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313"/>
      <c r="AV87" s="313"/>
      <c r="AW87" s="354"/>
      <c r="AX87" s="354"/>
      <c r="AY87" s="382"/>
      <c r="AZ87" s="382"/>
      <c r="BA87" s="382"/>
      <c r="BB87" s="382"/>
      <c r="BC87" s="382"/>
      <c r="BD87" s="383"/>
      <c r="BE87" s="383"/>
      <c r="BF87" s="432"/>
      <c r="BG87" s="432"/>
      <c r="BH87" s="432"/>
      <c r="BI87" s="313"/>
      <c r="BJ87" s="313"/>
      <c r="BK87" s="373"/>
      <c r="BL87" s="372"/>
      <c r="BM87" s="373"/>
      <c r="BN87" s="373"/>
      <c r="BO87" s="373"/>
      <c r="BP87" s="313"/>
      <c r="BQ87" s="361"/>
      <c r="BR87" s="361"/>
      <c r="BS87" s="361"/>
      <c r="BT87" s="361"/>
      <c r="BU87" s="361"/>
      <c r="BV87" s="361"/>
      <c r="BW87" s="358"/>
      <c r="BX87" s="358"/>
      <c r="BY87" s="358"/>
      <c r="BZ87" s="431"/>
      <c r="CA87" s="431"/>
      <c r="CB87" s="313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61"/>
      <c r="CN87" s="59"/>
      <c r="CO87" s="66"/>
      <c r="CP87" s="70"/>
      <c r="CQ87" s="70"/>
      <c r="CR87" s="70"/>
      <c r="CS87" s="70"/>
    </row>
    <row r="88" spans="2:103" ht="15" customHeight="1">
      <c r="D88" s="8"/>
      <c r="E88" s="8"/>
      <c r="F88" s="8"/>
      <c r="G88" s="8"/>
      <c r="H88" s="166"/>
      <c r="I88" s="48"/>
      <c r="J88" s="4"/>
      <c r="K88" s="4"/>
      <c r="L88" s="4"/>
      <c r="M88" s="4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50"/>
      <c r="Z88" s="50"/>
      <c r="AA88" s="123"/>
      <c r="AB88" s="176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53"/>
      <c r="AU88" s="313"/>
      <c r="AV88" s="313"/>
      <c r="AW88" s="354"/>
      <c r="AX88" s="354"/>
      <c r="AY88" s="358">
        <f>IF($H$15="Imperial",44,1117)</f>
        <v>44</v>
      </c>
      <c r="AZ88" s="358">
        <f>IF($H$15="Imperial",47,1194)</f>
        <v>47</v>
      </c>
      <c r="BA88" s="358">
        <f>IF($H$15="Imperial",36,914)</f>
        <v>36</v>
      </c>
      <c r="BB88" s="358">
        <f>IF($H$15="Imperial",36,914)</f>
        <v>36</v>
      </c>
      <c r="BC88" s="358">
        <f>IF($H$15="Imperial",16.92,0.48)</f>
        <v>16.920000000000002</v>
      </c>
      <c r="BD88" s="383"/>
      <c r="BE88" s="383"/>
      <c r="BF88" s="405" t="s">
        <v>61</v>
      </c>
      <c r="BG88" s="405" t="s">
        <v>60</v>
      </c>
      <c r="BH88" s="405" t="s">
        <v>62</v>
      </c>
      <c r="BI88" s="313"/>
      <c r="BJ88" s="313"/>
      <c r="BK88" s="373"/>
      <c r="BL88" s="387">
        <f>IF(BT94=0,    0,       IF(BT114&lt;=BT113,               IF(BT118&lt;=2,        0,          BT94*BT109),             IF(BT118&lt;=2,       0,         IF(BT115&lt;=2,          IF(BT117&lt;=2,       0,           BT94*BT109),                                                          IF(BT117=2,        (BT94-(BT114-BT115)),              (BT94*BT109)+(BT94-(BT114-BT115)))))))</f>
        <v>0</v>
      </c>
      <c r="BM88" s="388">
        <f>BL88*BF67</f>
        <v>0</v>
      </c>
      <c r="BN88" s="388">
        <f>BL88*BD67</f>
        <v>0</v>
      </c>
      <c r="BO88" s="381">
        <f>BM88+BN88</f>
        <v>0</v>
      </c>
      <c r="BP88" s="313"/>
      <c r="BQ88" s="343">
        <f>IF(BT2=1,                0,                 IF(H15="Imperial",                          IF(BX81=1,                  (AZ7+AZ19)+(((H55*AZ61*AZ63)/1728)*(H33/100)),                                                         2*BB67),                                                                                                                                                                                                                                                              IF(BX81=1,                           (AZ7+AZ19)+(((H55*AZ61*AZ63)/1000000000)*(H33/100)),                           2*BB67)))</f>
        <v>0</v>
      </c>
      <c r="BR88" s="343">
        <f>IF(BT2=1,     0,      IF(BV81=0,       0,          BV81))</f>
        <v>0</v>
      </c>
      <c r="BS88" s="343"/>
      <c r="BT88" s="343">
        <f>IF(BT2=1,          0,     IF(BX81=1,            IF(BQ81&lt;=AZ23,         1,         2),                    IF(BX81=2,                  IF(BQ81&lt;=BG23,         1,              2),                                                                                                                                           IF(H15="Imperial",          IF(BQ81&lt;=((2*(BB67+(((AZ61*(AZ63+H55-4.5)*(AY65+H55))/1728)*(H33/100))+(BV81*(BG67+((((H55-4.5)*BE61*BE65)/1728)*(H33/100))))))),   1,     2),                                                                                                                                                                  IF(BQ81&lt;=((2*(BB67+(((AZ61*(AZ63+H55-115)*(AY65+H55))/1000000000)*(H33/100))+(BV81*(BG67+((((H55-115)*BE61*BE65)/1000000000)*(H33/100))))))),      1,     2)))))</f>
        <v>0</v>
      </c>
      <c r="BU88" s="343">
        <f>IF(BT2=1,                    0,                      IF(BQ81&lt;=(2*(BQ88+BR88)),                    BT88,                         IF(BX81=1,                          (ROUNDUP((BQ81-(2*(BQ88+BR88)))/(BH27),0))+2,                                                                              IF(BX81=2,                    (ROUNDUP((BQ81-(2*(BQ88+BR88)))/(2*BC67),0))+2,                    (ROUNDUP((BQ81-(2*(BQ88+BR88)))/((BV81*BH67)+(2*BC67)),0))+2))))</f>
        <v>0</v>
      </c>
      <c r="BV88" s="343"/>
      <c r="BW88" s="358"/>
      <c r="BX88" s="358"/>
      <c r="BY88" s="358"/>
      <c r="BZ88" s="431"/>
      <c r="CA88" s="431"/>
      <c r="CB88" s="313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68"/>
      <c r="CN88" s="59"/>
      <c r="CO88" s="66"/>
      <c r="CP88" s="70"/>
      <c r="CQ88" s="70"/>
      <c r="CR88" s="70"/>
      <c r="CS88" s="70"/>
    </row>
    <row r="89" spans="2:103" ht="15" customHeight="1">
      <c r="B89" s="168">
        <f>H27</f>
        <v>6</v>
      </c>
      <c r="C89" s="8" t="str">
        <f>IF(H15="Imperial",    "Inches",  "mm")</f>
        <v>Inches</v>
      </c>
      <c r="D89" s="8"/>
      <c r="E89" s="8"/>
      <c r="F89" s="8"/>
      <c r="G89" s="8"/>
      <c r="J89" s="112"/>
      <c r="K89" s="8"/>
      <c r="L89" s="8"/>
      <c r="M89" s="8"/>
      <c r="N89" s="8"/>
      <c r="O89" s="4"/>
      <c r="P89" s="4"/>
      <c r="Q89" s="4"/>
      <c r="R89" s="4"/>
      <c r="S89" s="49"/>
      <c r="T89" s="49"/>
      <c r="U89" s="49"/>
      <c r="V89" s="49"/>
      <c r="W89" s="49"/>
      <c r="X89" s="49"/>
      <c r="Y89" s="165">
        <f>H27</f>
        <v>6</v>
      </c>
      <c r="Z89" s="8" t="str">
        <f>IF(H15="Imperial",    "Inches",  "mm")</f>
        <v>Inches</v>
      </c>
      <c r="AB89" s="8"/>
      <c r="AC89" s="8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0"/>
      <c r="AU89" s="313"/>
      <c r="AV89" s="313"/>
      <c r="AW89" s="354"/>
      <c r="AX89" s="354"/>
      <c r="AY89" s="358"/>
      <c r="AZ89" s="358"/>
      <c r="BA89" s="358"/>
      <c r="BB89" s="358"/>
      <c r="BC89" s="358"/>
      <c r="BD89" s="376"/>
      <c r="BE89" s="376"/>
      <c r="BF89" s="405"/>
      <c r="BG89" s="405"/>
      <c r="BH89" s="405"/>
      <c r="BI89" s="433"/>
      <c r="BJ89" s="433"/>
      <c r="BK89" s="434" t="s">
        <v>196</v>
      </c>
      <c r="BL89" s="434">
        <f>BL79+BL82+BL85+BL88</f>
        <v>2</v>
      </c>
      <c r="BM89" s="434">
        <f t="shared" ref="BM89:BO89" si="1">BM79+BM82+BM85+BM88</f>
        <v>137.05383333333336</v>
      </c>
      <c r="BN89" s="434">
        <f t="shared" si="1"/>
        <v>153.30000000000001</v>
      </c>
      <c r="BO89" s="434">
        <f t="shared" si="1"/>
        <v>290.35383333333334</v>
      </c>
      <c r="BP89" s="313"/>
      <c r="BQ89" s="343"/>
      <c r="BR89" s="343"/>
      <c r="BS89" s="343"/>
      <c r="BT89" s="343"/>
      <c r="BU89" s="343"/>
      <c r="BV89" s="343"/>
      <c r="BW89" s="358"/>
      <c r="BX89" s="358"/>
      <c r="BY89" s="358"/>
      <c r="BZ89" s="431"/>
      <c r="CA89" s="431"/>
      <c r="CB89" s="313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68"/>
      <c r="CN89" s="59"/>
      <c r="CO89" s="62"/>
      <c r="CP89" s="70"/>
      <c r="CQ89" s="70"/>
      <c r="CR89" s="70"/>
      <c r="CS89" s="70"/>
    </row>
    <row r="90" spans="2:103" ht="15" customHeight="1">
      <c r="B90" s="176"/>
      <c r="C90" s="176"/>
      <c r="D90" s="176"/>
      <c r="E90" s="176"/>
      <c r="F90" s="176"/>
      <c r="G90" s="176"/>
      <c r="H90" s="176"/>
      <c r="I90" s="176"/>
      <c r="J90" s="4"/>
      <c r="K90" s="4"/>
      <c r="L90" s="4"/>
      <c r="M90" s="4"/>
      <c r="N90" s="8"/>
      <c r="O90" s="8"/>
      <c r="P90" s="8"/>
      <c r="Q90" s="8"/>
      <c r="R90" s="8"/>
      <c r="S90" s="4"/>
      <c r="T90" s="4"/>
      <c r="U90" s="4"/>
      <c r="V90" s="4"/>
      <c r="W90" s="4"/>
      <c r="X90" s="4"/>
      <c r="Z90" s="8"/>
      <c r="AA90" s="176"/>
      <c r="AB90" s="176"/>
      <c r="AC90" s="4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70"/>
      <c r="AU90" s="313"/>
      <c r="AV90" s="313"/>
      <c r="AW90" s="435"/>
      <c r="AX90" s="436">
        <f>V63*V65*V67</f>
        <v>3439.4583333333335</v>
      </c>
      <c r="AY90" s="376"/>
      <c r="AZ90" s="376"/>
      <c r="BA90" s="376"/>
      <c r="BB90" s="376"/>
      <c r="BC90" s="376"/>
      <c r="BD90" s="376"/>
      <c r="BE90" s="376"/>
      <c r="BF90" s="378">
        <f>V63</f>
        <v>18.5</v>
      </c>
      <c r="BG90" s="378">
        <f>V65</f>
        <v>24.25</v>
      </c>
      <c r="BH90" s="378">
        <f>IF(H15=1,                IF(H37=1,         (AY47+H29+H27)/12,            IF(H37=2,         (H29+AY61+H39+AY47+H27)/12,              (H29+AY75+H39+AY61+H39+AY47+H27)/12)),                                                                                       IF(H37=1,                                         (AY47+H29+H27)/1000,          IF(H37=2,         (H29+AY61+H39+AY47+H27)/1000,              (H29+AY75+H39+AY61+H39+AY47+H27)/1000)))</f>
        <v>9.1999999999999998E-2</v>
      </c>
      <c r="BI90" s="433"/>
      <c r="BJ90" s="433"/>
      <c r="BK90" s="433"/>
      <c r="BL90" s="433"/>
      <c r="BM90" s="433"/>
      <c r="BN90" s="433"/>
      <c r="BO90" s="433"/>
      <c r="BP90" s="313"/>
      <c r="BQ90" s="343" t="s">
        <v>221</v>
      </c>
      <c r="BR90" s="343"/>
      <c r="BS90" s="343"/>
      <c r="BT90" s="343"/>
      <c r="BU90" s="343"/>
      <c r="BV90" s="343"/>
      <c r="BW90" s="343"/>
      <c r="BX90" s="343"/>
      <c r="BY90" s="343"/>
      <c r="BZ90" s="431"/>
      <c r="CA90" s="431"/>
      <c r="CB90" s="313"/>
      <c r="CC90" s="62"/>
      <c r="CD90" s="62"/>
      <c r="CE90" s="62"/>
      <c r="CF90" s="62"/>
      <c r="CG90" s="62"/>
      <c r="CH90" s="62"/>
      <c r="CI90" s="62"/>
      <c r="CJ90" s="62"/>
      <c r="CK90" s="62"/>
      <c r="CL90" s="61"/>
      <c r="CM90" s="61"/>
      <c r="CN90" s="59"/>
      <c r="CO90" s="62"/>
      <c r="CP90" s="70"/>
      <c r="CQ90" s="70"/>
      <c r="CR90" s="70"/>
      <c r="CS90" s="70"/>
    </row>
    <row r="91" spans="2:103" ht="15" customHeight="1">
      <c r="B91" s="4"/>
      <c r="C91" s="4"/>
      <c r="D91" s="4"/>
      <c r="E91" s="4"/>
      <c r="F91" s="4"/>
      <c r="G91" s="4"/>
      <c r="H91" s="4"/>
      <c r="I91" s="4"/>
      <c r="J91" s="8"/>
      <c r="K91" s="8"/>
      <c r="L91" s="4"/>
      <c r="M91" s="4"/>
      <c r="N91" s="4"/>
      <c r="O91" s="4"/>
      <c r="P91" s="4"/>
      <c r="Q91" s="4"/>
      <c r="R91" s="4"/>
      <c r="S91" s="8"/>
      <c r="T91" s="8"/>
      <c r="U91" s="8"/>
      <c r="V91" s="8"/>
      <c r="W91" s="8"/>
      <c r="X91" s="8"/>
      <c r="Z91" s="8"/>
      <c r="AA91" s="176"/>
      <c r="AB91" s="124"/>
      <c r="AC91" s="4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56"/>
      <c r="AU91" s="313"/>
      <c r="AV91" s="313"/>
      <c r="AW91" s="435"/>
      <c r="AX91" s="313"/>
      <c r="AY91" s="313"/>
      <c r="AZ91" s="313"/>
      <c r="BA91" s="313"/>
      <c r="BB91" s="313"/>
      <c r="BC91" s="313"/>
      <c r="BD91" s="376"/>
      <c r="BE91" s="376"/>
      <c r="BF91" s="378"/>
      <c r="BG91" s="378"/>
      <c r="BH91" s="378"/>
      <c r="BI91" s="313"/>
      <c r="BJ91" s="313"/>
      <c r="BK91" s="414" t="str">
        <f>IF($H$23=1,"Min suggested number of rows","Max suggested number of rows")</f>
        <v>Max suggested number of rows</v>
      </c>
      <c r="BL91" s="414"/>
      <c r="BM91" s="414"/>
      <c r="BN91" s="414"/>
      <c r="BO91" s="388">
        <f>IF(H37&lt;2,       0,      BY95)</f>
        <v>8</v>
      </c>
      <c r="BP91" s="313"/>
      <c r="BQ91" s="390" t="s">
        <v>110</v>
      </c>
      <c r="BR91" s="390" t="str">
        <f>IF(H37=2,          "Chosen Number of Rows",      "Default Number of Rows")</f>
        <v>Chosen Number of Rows</v>
      </c>
      <c r="BS91" s="390" t="s">
        <v>111</v>
      </c>
      <c r="BT91" s="382" t="s">
        <v>112</v>
      </c>
      <c r="BU91" s="382" t="s">
        <v>113</v>
      </c>
      <c r="BV91" s="382"/>
      <c r="BW91" s="382" t="s">
        <v>114</v>
      </c>
      <c r="BX91" s="343"/>
      <c r="BY91" s="390" t="s">
        <v>106</v>
      </c>
      <c r="BZ91" s="390"/>
      <c r="CA91" s="390"/>
      <c r="CB91" s="313"/>
      <c r="CC91" s="62"/>
      <c r="CD91" s="62"/>
      <c r="CE91" s="62"/>
      <c r="CF91" s="62"/>
      <c r="CG91" s="62"/>
      <c r="CH91" s="62"/>
      <c r="CI91" s="62"/>
      <c r="CJ91" s="62"/>
      <c r="CK91" s="62"/>
      <c r="CL91" s="61"/>
      <c r="CM91" s="61"/>
      <c r="CN91" s="59"/>
      <c r="CO91" s="61"/>
      <c r="CP91" s="66"/>
      <c r="CQ91" s="70"/>
      <c r="CR91" s="70"/>
      <c r="CS91" s="61"/>
      <c r="CT91" s="61"/>
      <c r="CU91" s="61"/>
      <c r="CV91" s="61"/>
      <c r="CW91" s="61"/>
      <c r="CX91" s="61"/>
      <c r="CY91" s="9"/>
    </row>
    <row r="92" spans="2:103" ht="1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8"/>
      <c r="O92" s="8"/>
      <c r="P92" s="8"/>
      <c r="Q92" s="8"/>
      <c r="R92" s="8"/>
      <c r="S92" s="4"/>
      <c r="T92" s="4"/>
      <c r="U92" s="4"/>
      <c r="V92" s="4"/>
      <c r="W92" s="4"/>
      <c r="X92" s="4"/>
      <c r="Z92" s="4"/>
      <c r="AA92" s="176"/>
      <c r="AB92" s="176"/>
      <c r="AC92" s="4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56"/>
      <c r="AU92" s="313"/>
      <c r="AV92" s="313"/>
      <c r="AW92" s="437"/>
      <c r="AX92" s="324"/>
      <c r="AY92" s="324"/>
      <c r="AZ92" s="324"/>
      <c r="BA92" s="324"/>
      <c r="BB92" s="324"/>
      <c r="BC92" s="324">
        <f>BE100-BE98</f>
        <v>7.0149999999999864</v>
      </c>
      <c r="BD92" s="324"/>
      <c r="BE92" s="324"/>
      <c r="BF92" s="324"/>
      <c r="BG92" s="324"/>
      <c r="BH92" s="324"/>
      <c r="BI92" s="313"/>
      <c r="BJ92" s="313"/>
      <c r="BK92" s="438" t="str">
        <f>IF(H37=2,"Chosen number of rows","Default number of rows")</f>
        <v>Chosen number of rows</v>
      </c>
      <c r="BL92" s="438"/>
      <c r="BM92" s="438"/>
      <c r="BN92" s="438"/>
      <c r="BO92" s="388">
        <f>IF(H37&lt;2,      0,         IF(H37=2,         H41,            BY95))</f>
        <v>4</v>
      </c>
      <c r="BP92" s="313"/>
      <c r="BQ92" s="390"/>
      <c r="BR92" s="390"/>
      <c r="BS92" s="390"/>
      <c r="BT92" s="382"/>
      <c r="BU92" s="382"/>
      <c r="BV92" s="382"/>
      <c r="BW92" s="382"/>
      <c r="BX92" s="343"/>
      <c r="BY92" s="390"/>
      <c r="BZ92" s="390"/>
      <c r="CA92" s="390"/>
      <c r="CB92" s="313"/>
      <c r="CC92" s="63"/>
      <c r="CD92" s="101"/>
      <c r="CE92" s="63"/>
      <c r="CF92" s="66"/>
      <c r="CG92" s="66"/>
      <c r="CH92" s="66"/>
      <c r="CI92" s="66"/>
      <c r="CJ92" s="66"/>
      <c r="CK92" s="66"/>
      <c r="CL92" s="61"/>
      <c r="CM92" s="61"/>
      <c r="CN92" s="59"/>
      <c r="CO92" s="61"/>
      <c r="CP92" s="66"/>
      <c r="CQ92" s="70"/>
      <c r="CR92" s="70"/>
      <c r="CS92" s="61"/>
      <c r="CT92" s="61"/>
      <c r="CU92" s="61"/>
      <c r="CV92" s="61"/>
      <c r="CW92" s="61"/>
      <c r="CX92" s="61"/>
      <c r="CY92" s="9"/>
    </row>
    <row r="93" spans="2:103" ht="1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4"/>
      <c r="M93" s="4"/>
      <c r="N93" s="4"/>
      <c r="O93" s="4"/>
      <c r="P93" s="4"/>
      <c r="Q93" s="4"/>
      <c r="R93" s="4"/>
      <c r="S93" s="8"/>
      <c r="T93" s="8"/>
      <c r="U93" s="8"/>
      <c r="V93" s="8"/>
      <c r="W93" s="8"/>
      <c r="X93" s="8"/>
      <c r="Z93" s="8"/>
      <c r="AA93" s="176"/>
      <c r="AB93" s="176"/>
      <c r="AC93" s="4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313"/>
      <c r="AV93" s="313"/>
      <c r="AW93" s="324"/>
      <c r="AX93" s="313"/>
      <c r="AY93" s="313"/>
      <c r="AZ93" s="313"/>
      <c r="BA93" s="313"/>
      <c r="BB93" s="313"/>
      <c r="BC93" s="313"/>
      <c r="BD93" s="313"/>
      <c r="BE93" s="313"/>
      <c r="BF93" s="432" t="s">
        <v>63</v>
      </c>
      <c r="BG93" s="432"/>
      <c r="BH93" s="432"/>
      <c r="BI93" s="313"/>
      <c r="BJ93" s="313"/>
      <c r="BK93" s="438" t="str">
        <f>IF($H$23=1,"Min number of chambers per full Row","Max number of chambers per Row")</f>
        <v>Max number of chambers per Row</v>
      </c>
      <c r="BL93" s="438"/>
      <c r="BM93" s="438"/>
      <c r="BN93" s="438"/>
      <c r="BO93" s="388">
        <f>BT118</f>
        <v>1</v>
      </c>
      <c r="BP93" s="313"/>
      <c r="BQ93" s="390"/>
      <c r="BR93" s="390"/>
      <c r="BS93" s="390"/>
      <c r="BT93" s="382"/>
      <c r="BU93" s="382"/>
      <c r="BV93" s="382"/>
      <c r="BW93" s="382"/>
      <c r="BX93" s="343"/>
      <c r="BY93" s="390" t="str">
        <f>IF(BS73=1,      "Maximum Number of Rows",                 "Minimum Number of Rows")</f>
        <v>Minimum Number of Rows</v>
      </c>
      <c r="BZ93" s="390"/>
      <c r="CA93" s="382" t="str">
        <f>IF(BS73=1,             "N/A",                "Maximum Number of Chambers per Full Row")</f>
        <v>Maximum Number of Chambers per Full Row</v>
      </c>
      <c r="CB93" s="313"/>
      <c r="CC93" s="63"/>
      <c r="CD93" s="101"/>
      <c r="CE93" s="63"/>
      <c r="CF93" s="66"/>
      <c r="CG93" s="66"/>
      <c r="CH93" s="66"/>
      <c r="CI93" s="66"/>
      <c r="CJ93" s="66"/>
      <c r="CK93" s="66"/>
      <c r="CL93" s="61"/>
      <c r="CM93" s="61"/>
      <c r="CN93" s="59"/>
      <c r="CO93" s="61"/>
      <c r="CP93" s="66"/>
      <c r="CQ93" s="66"/>
      <c r="CR93" s="70"/>
      <c r="CS93" s="61"/>
      <c r="CT93" s="61"/>
      <c r="CU93" s="61"/>
      <c r="CV93" s="61"/>
      <c r="CW93" s="61"/>
      <c r="CX93" s="61"/>
      <c r="CY93" s="9"/>
    </row>
    <row r="94" spans="2:103" s="88" customFormat="1" ht="15" customHeight="1">
      <c r="B94" s="176"/>
      <c r="C94" s="176"/>
      <c r="D94" s="176"/>
      <c r="E94" s="176"/>
      <c r="F94" s="176"/>
      <c r="G94" s="176"/>
      <c r="H94" s="176"/>
      <c r="I94" s="176"/>
      <c r="J94" s="4"/>
      <c r="K94" s="4"/>
      <c r="L94" s="4"/>
      <c r="M94" s="8"/>
      <c r="N94" s="8"/>
      <c r="O94" s="8"/>
      <c r="P94" s="8"/>
      <c r="Q94" s="8"/>
      <c r="R94" s="8"/>
      <c r="S94" s="8"/>
      <c r="T94" s="8"/>
      <c r="U94" s="21"/>
      <c r="V94" s="21"/>
      <c r="W94" s="21"/>
      <c r="X94" s="21"/>
      <c r="Z94" s="91"/>
      <c r="AA94" s="164"/>
      <c r="AB94" s="164"/>
      <c r="AC94" s="91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70"/>
      <c r="AU94" s="313"/>
      <c r="AV94" s="313"/>
      <c r="AW94" s="313"/>
      <c r="AX94" s="313"/>
      <c r="AY94" s="313">
        <f>BF90*BG90*BH90</f>
        <v>41.273499999999999</v>
      </c>
      <c r="AZ94" s="313">
        <f>AY94-BF98-BG98</f>
        <v>-571.92650000000003</v>
      </c>
      <c r="BA94" s="313"/>
      <c r="BB94" s="313"/>
      <c r="BC94" s="313"/>
      <c r="BD94" s="313"/>
      <c r="BE94" s="313"/>
      <c r="BF94" s="432"/>
      <c r="BG94" s="432"/>
      <c r="BH94" s="432"/>
      <c r="BI94" s="313"/>
      <c r="BJ94" s="313"/>
      <c r="BK94" s="438" t="s">
        <v>42</v>
      </c>
      <c r="BL94" s="438"/>
      <c r="BM94" s="438"/>
      <c r="BN94" s="438"/>
      <c r="BO94" s="388">
        <f>BT115</f>
        <v>2</v>
      </c>
      <c r="BP94" s="313"/>
      <c r="BQ94" s="343">
        <f>BQ81</f>
        <v>500</v>
      </c>
      <c r="BR94" s="343">
        <f>BO92</f>
        <v>4</v>
      </c>
      <c r="BS94" s="343">
        <f>IF(BR94=1,       1,        2)</f>
        <v>2</v>
      </c>
      <c r="BT94" s="358">
        <f>IF(BR94&lt;3,      0,        BR94-2)</f>
        <v>2</v>
      </c>
      <c r="BU94" s="358">
        <f>IF(BR94=1,    IF(BQ94&lt;=AZ23,    AZ23,    IF(H15="Imperial",    BB67+((((H55-4.5)*AZ61*(AZ65+H55))/1728)*(H33/100)),     BB67+((((H55-115)*AZ61*(AZ65+H55))/1000000000)*(H33/100)))),                                                                                   IF(BQ94&lt;=BD23,                BD23,              2*BB67))</f>
        <v>263.04250000000002</v>
      </c>
      <c r="BV94" s="358"/>
      <c r="BW94" s="358">
        <f>IF(BT94=0,            0,           BT94*BC67)</f>
        <v>246.2716666666667</v>
      </c>
      <c r="BX94" s="343"/>
      <c r="BY94" s="390"/>
      <c r="BZ94" s="390"/>
      <c r="CA94" s="382"/>
      <c r="CB94" s="313"/>
      <c r="CC94" s="62"/>
      <c r="CD94" s="62"/>
      <c r="CE94" s="62"/>
      <c r="CF94" s="62"/>
      <c r="CG94" s="62"/>
      <c r="CH94" s="62"/>
      <c r="CI94" s="62"/>
      <c r="CJ94" s="86"/>
      <c r="CK94" s="62"/>
      <c r="CL94" s="62"/>
      <c r="CM94" s="61"/>
      <c r="CN94" s="59"/>
      <c r="CO94" s="61"/>
      <c r="CP94" s="66"/>
      <c r="CQ94" s="66"/>
      <c r="CR94" s="70"/>
      <c r="CS94" s="61"/>
      <c r="CT94" s="61"/>
      <c r="CU94" s="61"/>
      <c r="CV94" s="61"/>
      <c r="CW94" s="61"/>
      <c r="CX94" s="61"/>
      <c r="CY94" s="61"/>
    </row>
    <row r="95" spans="2:103" s="88" customFormat="1" ht="15" customHeight="1">
      <c r="B95" s="176"/>
      <c r="C95" s="176"/>
      <c r="D95" s="176"/>
      <c r="E95" s="176"/>
      <c r="F95" s="176"/>
      <c r="G95" s="176"/>
      <c r="H95" s="176"/>
      <c r="I95" s="176"/>
      <c r="J95" s="8"/>
      <c r="K95" s="8"/>
      <c r="L95" s="4"/>
      <c r="M95" s="4"/>
      <c r="N95" s="4"/>
      <c r="O95" s="4"/>
      <c r="P95" s="4"/>
      <c r="Q95" s="4"/>
      <c r="R95" s="4"/>
      <c r="S95" s="51"/>
      <c r="T95" s="51"/>
      <c r="U95" s="52"/>
      <c r="V95" s="52"/>
      <c r="W95" s="52"/>
      <c r="X95" s="52"/>
      <c r="Y95" s="165">
        <f>H29</f>
        <v>6</v>
      </c>
      <c r="Z95" s="8" t="str">
        <f>IF(H15="Imperial",    "Inches",  "mm")</f>
        <v>Inches</v>
      </c>
      <c r="AA95" s="8"/>
      <c r="AB95" s="8"/>
      <c r="AC95" s="8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70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29" t="s">
        <v>64</v>
      </c>
      <c r="BG95" s="329" t="s">
        <v>65</v>
      </c>
      <c r="BH95" s="313"/>
      <c r="BI95" s="313"/>
      <c r="BJ95" s="313"/>
      <c r="BK95" s="328" t="s">
        <v>141</v>
      </c>
      <c r="BL95" s="328"/>
      <c r="BM95" s="328"/>
      <c r="BN95" s="328"/>
      <c r="BO95" s="335" t="str">
        <f>IF(BT116=0,    "no",        "yes")</f>
        <v>yes</v>
      </c>
      <c r="BP95" s="384"/>
      <c r="BQ95" s="343"/>
      <c r="BR95" s="343"/>
      <c r="BS95" s="343"/>
      <c r="BT95" s="358"/>
      <c r="BU95" s="358"/>
      <c r="BV95" s="358"/>
      <c r="BW95" s="358"/>
      <c r="BX95" s="343"/>
      <c r="BY95" s="343">
        <f>IF(BT2=1,            BX81,        BU88)</f>
        <v>8</v>
      </c>
      <c r="BZ95" s="343"/>
      <c r="CA95" s="378">
        <f>IF(BT2=1,         0,                             BX81)</f>
        <v>0</v>
      </c>
      <c r="CB95" s="384"/>
      <c r="CC95" s="62"/>
      <c r="CD95" s="62"/>
      <c r="CE95" s="62"/>
      <c r="CF95" s="62"/>
      <c r="CG95" s="62"/>
      <c r="CH95" s="62"/>
      <c r="CI95" s="62"/>
      <c r="CJ95" s="86"/>
      <c r="CK95" s="62"/>
      <c r="CL95" s="62"/>
      <c r="CM95" s="61"/>
      <c r="CN95" s="59"/>
      <c r="CO95" s="61"/>
      <c r="CP95" s="66"/>
      <c r="CQ95" s="66"/>
      <c r="CR95" s="61"/>
      <c r="CS95" s="61"/>
      <c r="CT95" s="61"/>
      <c r="CU95" s="61"/>
      <c r="CV95" s="61"/>
      <c r="CW95" s="61"/>
      <c r="CX95" s="61"/>
      <c r="CY95" s="61"/>
    </row>
    <row r="96" spans="2:103" s="88" customFormat="1" ht="15" customHeight="1">
      <c r="B96" s="176"/>
      <c r="C96" s="176"/>
      <c r="D96" s="176"/>
      <c r="E96" s="176"/>
      <c r="F96" s="176"/>
      <c r="G96" s="176"/>
      <c r="H96" s="176"/>
      <c r="I96" s="176"/>
      <c r="J96" s="54"/>
      <c r="K96" s="54"/>
      <c r="L96" s="4"/>
      <c r="M96" s="4"/>
      <c r="N96" s="8"/>
      <c r="O96" s="8"/>
      <c r="P96" s="8"/>
      <c r="Q96" s="8"/>
      <c r="R96" s="8"/>
      <c r="S96" s="38"/>
      <c r="T96" s="38"/>
      <c r="U96" s="91"/>
      <c r="V96" s="91"/>
      <c r="W96" s="116"/>
      <c r="X96" s="53"/>
      <c r="Y96" s="38"/>
      <c r="Z96" s="38"/>
      <c r="AA96" s="38"/>
      <c r="AB96" s="4"/>
      <c r="AC96" s="70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70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35"/>
      <c r="BG96" s="335"/>
      <c r="BH96" s="313"/>
      <c r="BI96" s="313"/>
      <c r="BJ96" s="313"/>
      <c r="BK96" s="328" t="s">
        <v>160</v>
      </c>
      <c r="BL96" s="328"/>
      <c r="BM96" s="328"/>
      <c r="BN96" s="328"/>
      <c r="BO96" s="406">
        <f>BO79+BO82+BO85+BO88</f>
        <v>290.35383333333334</v>
      </c>
      <c r="BP96" s="384"/>
      <c r="BQ96" s="358" t="s">
        <v>125</v>
      </c>
      <c r="BR96" s="358"/>
      <c r="BS96" s="382" t="s">
        <v>115</v>
      </c>
      <c r="BT96" s="382" t="s">
        <v>116</v>
      </c>
      <c r="BU96" s="382"/>
      <c r="BV96" s="390" t="s">
        <v>117</v>
      </c>
      <c r="BW96" s="390"/>
      <c r="BX96" s="343"/>
      <c r="BY96" s="343"/>
      <c r="BZ96" s="343"/>
      <c r="CA96" s="378"/>
      <c r="CB96" s="384"/>
      <c r="CC96" s="63"/>
      <c r="CD96" s="63"/>
      <c r="CE96" s="63"/>
      <c r="CF96" s="63"/>
      <c r="CG96" s="63"/>
      <c r="CH96" s="63"/>
      <c r="CI96" s="63"/>
      <c r="CJ96" s="86"/>
      <c r="CK96" s="63"/>
      <c r="CL96" s="63"/>
      <c r="CM96" s="61"/>
      <c r="CN96" s="59"/>
      <c r="CO96" s="61"/>
      <c r="CP96" s="66"/>
      <c r="CQ96" s="66"/>
      <c r="CR96" s="61"/>
      <c r="CS96" s="61"/>
      <c r="CT96" s="61"/>
      <c r="CU96" s="61"/>
      <c r="CV96" s="61"/>
      <c r="CW96" s="61"/>
      <c r="CX96" s="61"/>
      <c r="CY96" s="61"/>
    </row>
    <row r="97" spans="2:103" s="88" customFormat="1" ht="15" customHeight="1">
      <c r="B97" s="176"/>
      <c r="C97" s="176"/>
      <c r="G97" s="176"/>
      <c r="H97" s="176"/>
      <c r="I97" s="176"/>
      <c r="J97" s="54"/>
      <c r="K97" s="54"/>
      <c r="L97" s="4"/>
      <c r="M97" s="84"/>
      <c r="N97" s="8"/>
      <c r="O97" s="8"/>
      <c r="P97" s="8"/>
      <c r="Q97" s="8"/>
      <c r="R97" s="8"/>
      <c r="T97" s="177" t="str">
        <f>IF(H15="Imperial",    "20  Inches",       "510  mm")</f>
        <v>20  Inches</v>
      </c>
      <c r="V97" s="177"/>
      <c r="W97" s="177"/>
      <c r="X97" s="21"/>
      <c r="Y97" s="39"/>
      <c r="Z97" s="39"/>
      <c r="AA97" s="39"/>
      <c r="AB97" s="51"/>
      <c r="AC97" s="70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70"/>
      <c r="AU97" s="313"/>
      <c r="AV97" s="313"/>
      <c r="AW97" s="313"/>
      <c r="AX97" s="313"/>
      <c r="AY97" s="313">
        <f>7713/9</f>
        <v>857</v>
      </c>
      <c r="AZ97" s="313"/>
      <c r="BA97" s="313"/>
      <c r="BB97" s="313"/>
      <c r="BC97" s="313"/>
      <c r="BD97" s="313"/>
      <c r="BE97" s="439" t="s">
        <v>66</v>
      </c>
      <c r="BF97" s="335">
        <f>BL13+BL21+BL79+BL85+BL133+BL141</f>
        <v>8</v>
      </c>
      <c r="BG97" s="335">
        <f>BL17+BL25+BL29+BL82+BL88+BL137+BL145</f>
        <v>0</v>
      </c>
      <c r="BH97" s="313"/>
      <c r="BI97" s="313"/>
      <c r="BJ97" s="313"/>
      <c r="BK97" s="410" t="s">
        <v>43</v>
      </c>
      <c r="BL97" s="410"/>
      <c r="BM97" s="410"/>
      <c r="BN97" s="410"/>
      <c r="BO97" s="386">
        <f>IF(H37&lt;2,         0,        IF(H15="Imperial",      IF(BO93=1,            (AZ5+H55+H55)/12,                          IF(BO93=2,         (2*AZ65)/12,                      (((BO93-2)*BE65)+(2*AZ65))/12)),                                                                                                            IF(BO93=1,                     (AZ5+H55+H55)/1000,               IF(BO93=2,         (BO93*AZ65)/1000,         (((BO93-2)*BE65)+(2*AZ65))/1000))))</f>
        <v>10.416666666666666</v>
      </c>
      <c r="BP97" s="384"/>
      <c r="BQ97" s="358"/>
      <c r="BR97" s="358"/>
      <c r="BS97" s="382"/>
      <c r="BT97" s="382"/>
      <c r="BU97" s="382"/>
      <c r="BV97" s="390"/>
      <c r="BW97" s="390"/>
      <c r="BX97" s="343"/>
      <c r="BY97" s="390" t="s">
        <v>107</v>
      </c>
      <c r="BZ97" s="390"/>
      <c r="CA97" s="390"/>
      <c r="CB97" s="384"/>
      <c r="CC97" s="63"/>
      <c r="CD97" s="63"/>
      <c r="CE97" s="63"/>
      <c r="CF97" s="63"/>
      <c r="CG97" s="63"/>
      <c r="CH97" s="63"/>
      <c r="CI97" s="63"/>
      <c r="CJ97" s="86"/>
      <c r="CK97" s="63"/>
      <c r="CL97" s="63"/>
      <c r="CM97" s="61"/>
      <c r="CN97" s="59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</row>
    <row r="98" spans="2:103" s="88" customFormat="1" ht="15" customHeight="1">
      <c r="B98" s="176"/>
      <c r="C98" s="176"/>
      <c r="D98" s="176"/>
      <c r="E98" s="169">
        <f>H45</f>
        <v>9</v>
      </c>
      <c r="F98" s="176" t="str">
        <f>IF(H15="Imperial", " Inches",        "mm")</f>
        <v xml:space="preserve"> Inches</v>
      </c>
      <c r="G98" s="176"/>
      <c r="H98" s="176"/>
      <c r="I98" s="176"/>
      <c r="J98" s="4"/>
      <c r="K98" s="4"/>
      <c r="L98" s="4"/>
      <c r="M98" s="4"/>
      <c r="N98" s="84"/>
      <c r="O98" s="91"/>
      <c r="P98" s="213"/>
      <c r="Q98" s="213"/>
      <c r="R98" s="213"/>
      <c r="S98" s="38"/>
      <c r="T98" s="38"/>
      <c r="U98" s="53"/>
      <c r="V98" s="53"/>
      <c r="W98" s="53"/>
      <c r="X98" s="53"/>
      <c r="Y98" s="38"/>
      <c r="Z98" s="38"/>
      <c r="AA98" s="38"/>
      <c r="AB98" s="38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70"/>
      <c r="AU98" s="313"/>
      <c r="AV98" s="313"/>
      <c r="AW98" s="313"/>
      <c r="AX98" s="313" t="s">
        <v>71</v>
      </c>
      <c r="AY98" s="313">
        <f>IF(H15="Imperial", IF(H19="SC-44",        9,       6),          IF(H19="SC-44",         225,      150))</f>
        <v>6</v>
      </c>
      <c r="AZ98" s="313"/>
      <c r="BA98" s="318">
        <f>((AZ47*AZ49*(18+6))/1728)*0.4</f>
        <v>19.55</v>
      </c>
      <c r="BB98" s="318">
        <f>((AZ47*(6+18-4.5)*(AY51+6))/1728)*0.4</f>
        <v>20.556250000000002</v>
      </c>
      <c r="BC98" s="313">
        <f>((AZ47*18*(18-4.5))/1728)*0.4</f>
        <v>2.5875000000000004</v>
      </c>
      <c r="BD98" s="318">
        <f>BA98+BB98+(2*BC98)</f>
        <v>45.28125</v>
      </c>
      <c r="BE98" s="313">
        <f>BB53+BD98</f>
        <v>176.80250000000001</v>
      </c>
      <c r="BF98" s="335">
        <f>BF97*AY53</f>
        <v>613.20000000000005</v>
      </c>
      <c r="BG98" s="335">
        <f>BG97*BD53</f>
        <v>0</v>
      </c>
      <c r="BH98" s="313"/>
      <c r="BI98" s="313"/>
      <c r="BJ98" s="313"/>
      <c r="BK98" s="410" t="s">
        <v>44</v>
      </c>
      <c r="BL98" s="410"/>
      <c r="BM98" s="410"/>
      <c r="BN98" s="410"/>
      <c r="BO98" s="381">
        <f>IF(H37&lt;2,     0,         IF(H15="Imperial",       IF(BO92=1,                    (AZ63+H55-4.5)/12,                        IF(BO92=2,             (2*AZ63)/12,                   (((BO92-2)*BA63)+(2*AZ63))/12)),                                                                                                               IF(BO92=1,                                     (AZ63+H55-115)/1000,               IF(BO92=2,             (2*AZ63)/1000,              (((BO92-2)*BA63)+(2*AZ63))/1000))))</f>
        <v>24.25</v>
      </c>
      <c r="BP98" s="384"/>
      <c r="BQ98" s="358"/>
      <c r="BR98" s="358"/>
      <c r="BS98" s="382"/>
      <c r="BT98" s="382"/>
      <c r="BU98" s="382"/>
      <c r="BV98" s="390"/>
      <c r="BW98" s="390"/>
      <c r="BX98" s="343"/>
      <c r="BY98" s="390"/>
      <c r="BZ98" s="390"/>
      <c r="CA98" s="390"/>
      <c r="CB98" s="384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1"/>
      <c r="CN98" s="59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</row>
    <row r="99" spans="2:103" s="88" customFormat="1" ht="15" customHeight="1">
      <c r="C99" s="166">
        <f>H55</f>
        <v>12</v>
      </c>
      <c r="D99" s="8" t="str">
        <f>IF(H15="Imperial",   "Inches",   "mm")</f>
        <v>Inches</v>
      </c>
      <c r="E99" s="176"/>
      <c r="I99" s="176"/>
      <c r="J99" s="8"/>
      <c r="K99" s="8"/>
      <c r="L99" s="4"/>
      <c r="M99" s="4"/>
      <c r="N99" s="4"/>
      <c r="O99" s="165" t="str">
        <f>IF(H15="Imperial",      "24    Inches",              "610     mm")</f>
        <v>24    Inches</v>
      </c>
      <c r="P99" s="4"/>
      <c r="Q99" s="4"/>
      <c r="R99" s="4"/>
      <c r="S99" s="39"/>
      <c r="T99" s="39"/>
      <c r="U99" s="21"/>
      <c r="V99" s="21"/>
      <c r="W99" s="21"/>
      <c r="X99" s="21"/>
      <c r="Y99" s="39"/>
      <c r="Z99" s="39"/>
      <c r="AA99" s="39"/>
      <c r="AB99" s="38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70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414"/>
      <c r="BL99" s="414"/>
      <c r="BM99" s="414"/>
      <c r="BN99" s="414"/>
      <c r="BO99" s="386"/>
      <c r="BP99" s="384"/>
      <c r="BQ99" s="358"/>
      <c r="BR99" s="358"/>
      <c r="BS99" s="343">
        <f>IF( BT2=1,          IF(BR94=1,         IF(BQ94&lt;=AZ23,       1,        2),          IF(BR94=2,                     IF(BQ94&lt;=BD23,             1,           2),                      IF(H15="Imperial",                                                                                                                                 IF(BQ94&lt;=((2*(BB67+(((AZ61*AZ63*H55)/1728)*(H33/100))))+(BT94*(BC67+(((BA61*BA63*H55)/1728)*(H33/100))))),         1,          2),                                                                                                                                                                             IF(BQ94&lt;=((2*(BB67+(((AZ61*AZ63*H55)/1000000000)*(H33/100))))+(BT94*(BC67+(((BA61*BA63*H55)/1000000000)*(H33/100))))),         1,          2)))),          IF(BX81=1,      1,      2))</f>
        <v>1</v>
      </c>
      <c r="BT99" s="343">
        <f>IF(BQ94&lt;=(2*(BU94+BW94)),          0,                IF(H15="Imperial",           IF(BR94=1,               ROUNDUP((BQ94-(2*BU94))/(BG67+((((H55-4.5)*BE61*BE65)/1728)*(H33/100))),0),                                                                                                                                         IF(BR94=2,             ROUNDUP((BQ94-(2*BU94))/(2*BG67),0),                   ROUNDUP((BQ94-(2*(BU94+BW94)))/((2*BG67)+(BT94*BH67)),0))),                                                                                                                                                                                                           IF(BR94=1,                        ROUNDUP((BQ94-(2*BU94))/(BG67+((((H55-115)*BE61*BE65)/1000000000)*(H33/100))),0),                                                                                                                                                             IF(BR94=2,                        ROUNDUP((BQ94-(2*BU94))/(2*BG67),0),            ROUNDUP((BQ94-(2*(BU94+BW94)))/((2*BG67)+(BT94*BH67)),0)))))</f>
        <v>0</v>
      </c>
      <c r="BU99" s="343"/>
      <c r="BV99" s="343">
        <f>BS99+BT99</f>
        <v>1</v>
      </c>
      <c r="BW99" s="343"/>
      <c r="BX99" s="343"/>
      <c r="BY99" s="382" t="s">
        <v>108</v>
      </c>
      <c r="BZ99" s="382"/>
      <c r="CA99" s="401" t="s">
        <v>109</v>
      </c>
      <c r="CB99" s="384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57"/>
      <c r="CN99" s="90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</row>
    <row r="100" spans="2:103" s="88" customFormat="1" ht="1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8"/>
      <c r="O100" s="8"/>
      <c r="P100" s="8"/>
      <c r="Q100" s="8"/>
      <c r="R100" s="8"/>
      <c r="S100" s="41"/>
      <c r="T100" s="41"/>
      <c r="U100" s="53"/>
      <c r="V100" s="53"/>
      <c r="W100" s="53"/>
      <c r="X100" s="53"/>
      <c r="Y100" s="41"/>
      <c r="Z100" s="41"/>
      <c r="AA100" s="41"/>
      <c r="AB100" s="38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70"/>
      <c r="AU100" s="313"/>
      <c r="AV100" s="313"/>
      <c r="AW100" s="313"/>
      <c r="AX100" s="313" t="s">
        <v>72</v>
      </c>
      <c r="AY100" s="313">
        <f>IF(H15="Imperial",          96,         2400)</f>
        <v>96</v>
      </c>
      <c r="AZ100" s="313"/>
      <c r="BA100" s="318">
        <f>((AZ47*AZ49*18)/1728)*0.4</f>
        <v>14.662500000000001</v>
      </c>
      <c r="BB100" s="318">
        <f>((AZ47*(18-4.5)*AY51)/1728)*0.4</f>
        <v>13.36875</v>
      </c>
      <c r="BC100" s="313">
        <f>((AZ47*18*(18-4.5))/1728)*0.4</f>
        <v>2.5875000000000004</v>
      </c>
      <c r="BD100" s="318">
        <f>2*(BA100+BB100+BC100)</f>
        <v>61.237499999999997</v>
      </c>
      <c r="BE100" s="313">
        <f>122.58+BD100</f>
        <v>183.8175</v>
      </c>
      <c r="BF100" s="313"/>
      <c r="BG100" s="313"/>
      <c r="BH100" s="313"/>
      <c r="BI100" s="313"/>
      <c r="BJ100" s="313"/>
      <c r="BK100" s="414"/>
      <c r="BL100" s="414"/>
      <c r="BM100" s="414"/>
      <c r="BN100" s="414"/>
      <c r="BO100" s="388"/>
      <c r="BP100" s="384"/>
      <c r="BQ100" s="358"/>
      <c r="BR100" s="358"/>
      <c r="BS100" s="343"/>
      <c r="BT100" s="343"/>
      <c r="BU100" s="343"/>
      <c r="BV100" s="343"/>
      <c r="BW100" s="343"/>
      <c r="BX100" s="343"/>
      <c r="BY100" s="382"/>
      <c r="BZ100" s="382"/>
      <c r="CA100" s="401"/>
      <c r="CB100" s="384"/>
      <c r="CC100" s="63"/>
      <c r="CD100" s="63"/>
      <c r="CE100" s="63"/>
      <c r="CF100" s="63"/>
      <c r="CG100" s="63"/>
      <c r="CH100" s="63"/>
      <c r="CI100" s="63"/>
      <c r="CJ100" s="66"/>
      <c r="CK100" s="57"/>
      <c r="CL100" s="57"/>
      <c r="CM100" s="57"/>
      <c r="CN100" s="90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</row>
    <row r="101" spans="2:103" s="88" customFormat="1" ht="15" customHeight="1">
      <c r="B101" s="176"/>
      <c r="C101" s="176"/>
      <c r="D101" s="176"/>
      <c r="E101" s="176"/>
      <c r="F101" s="176"/>
      <c r="G101" s="176"/>
      <c r="H101" s="176"/>
      <c r="I101" s="176"/>
      <c r="J101" s="8"/>
      <c r="K101" s="8"/>
      <c r="L101" s="4"/>
      <c r="M101" s="4"/>
      <c r="N101" s="4"/>
      <c r="O101" s="4"/>
      <c r="P101" s="91"/>
      <c r="Q101" s="91"/>
      <c r="R101" s="91"/>
      <c r="S101" s="91"/>
      <c r="T101" s="4"/>
      <c r="U101" s="53"/>
      <c r="V101" s="53"/>
      <c r="W101" s="53"/>
      <c r="X101" s="53"/>
      <c r="Y101" s="4"/>
      <c r="Z101" s="4"/>
      <c r="AA101" s="4"/>
      <c r="AB101" s="38"/>
      <c r="AC101" s="70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70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91"/>
      <c r="BL101" s="391" t="s">
        <v>63</v>
      </c>
      <c r="BM101" s="391"/>
      <c r="BN101" s="391"/>
      <c r="BO101" s="386">
        <f>BL79+BL82+BL85+BL88</f>
        <v>2</v>
      </c>
      <c r="BP101" s="384"/>
      <c r="BQ101" s="390" t="s">
        <v>126</v>
      </c>
      <c r="BR101" s="390" t="s">
        <v>127</v>
      </c>
      <c r="BS101" s="382" t="s">
        <v>151</v>
      </c>
      <c r="BT101" s="382" t="s">
        <v>199</v>
      </c>
      <c r="BU101" s="382"/>
      <c r="BV101" s="382"/>
      <c r="BW101" s="382"/>
      <c r="BX101" s="343"/>
      <c r="BY101" s="343">
        <f>IF(H37=1,      0,             IF(H37=2,               H41,         BY95))</f>
        <v>4</v>
      </c>
      <c r="BZ101" s="343"/>
      <c r="CA101" s="378">
        <f>BV99</f>
        <v>1</v>
      </c>
      <c r="CB101" s="384"/>
      <c r="CC101" s="63"/>
      <c r="CD101" s="63"/>
      <c r="CE101" s="63"/>
      <c r="CF101" s="63"/>
      <c r="CG101" s="63"/>
      <c r="CH101" s="63"/>
      <c r="CI101" s="63"/>
      <c r="CJ101" s="66"/>
      <c r="CK101" s="57"/>
      <c r="CL101" s="57"/>
      <c r="CM101" s="57"/>
      <c r="CN101" s="90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</row>
    <row r="102" spans="2:103" s="88" customFormat="1" ht="15" customHeight="1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8"/>
      <c r="O102" s="8"/>
      <c r="P102" s="8"/>
      <c r="Q102" s="219" t="str">
        <f>IF(H15="Imperial", "47   Inches",           "1200  mm")</f>
        <v>47   Inches</v>
      </c>
      <c r="R102" s="219"/>
      <c r="S102" s="4"/>
      <c r="T102" s="4"/>
      <c r="U102" s="53"/>
      <c r="V102" s="53"/>
      <c r="W102" s="53"/>
      <c r="X102" s="53"/>
      <c r="Y102" s="4"/>
      <c r="Z102" s="4"/>
      <c r="AA102" s="4"/>
      <c r="AB102" s="56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313"/>
      <c r="AV102" s="313"/>
      <c r="AW102" s="313"/>
      <c r="AX102" s="313" t="s">
        <v>73</v>
      </c>
      <c r="AY102" s="313">
        <f>IF(H15="Imperial",          IF(H19="SC-44",           12,         6),         IF(H19="SC-44",           300,         150))</f>
        <v>6</v>
      </c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13"/>
      <c r="BJ102" s="313"/>
      <c r="BK102" s="391"/>
      <c r="BL102" s="391"/>
      <c r="BM102" s="391"/>
      <c r="BN102" s="391"/>
      <c r="BO102" s="391"/>
      <c r="BP102" s="384"/>
      <c r="BQ102" s="390"/>
      <c r="BR102" s="390"/>
      <c r="BS102" s="382"/>
      <c r="BT102" s="382"/>
      <c r="BU102" s="382"/>
      <c r="BV102" s="382"/>
      <c r="BW102" s="382"/>
      <c r="BX102" s="343"/>
      <c r="BY102" s="343"/>
      <c r="BZ102" s="343"/>
      <c r="CA102" s="378"/>
      <c r="CB102" s="384"/>
      <c r="CC102" s="62"/>
      <c r="CD102" s="62"/>
      <c r="CE102" s="62"/>
      <c r="CF102" s="62"/>
      <c r="CG102" s="62"/>
      <c r="CH102" s="62"/>
      <c r="CI102" s="94"/>
      <c r="CJ102" s="62"/>
      <c r="CK102" s="61"/>
      <c r="CL102" s="61"/>
      <c r="CM102" s="57"/>
      <c r="CN102" s="90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</row>
    <row r="103" spans="2:103" s="88" customFormat="1" ht="15" customHeight="1">
      <c r="B103" s="65"/>
      <c r="C103" s="65"/>
      <c r="D103" s="65"/>
      <c r="E103" s="65"/>
      <c r="F103" s="65"/>
      <c r="G103" s="65"/>
      <c r="H103" s="65"/>
      <c r="I103" s="65"/>
      <c r="J103" s="65"/>
      <c r="K103" s="70"/>
      <c r="L103" s="70"/>
      <c r="M103" s="70"/>
      <c r="N103" s="69"/>
      <c r="O103" s="69"/>
      <c r="P103" s="91"/>
      <c r="S103" s="163"/>
      <c r="T103" s="56"/>
      <c r="U103" s="70"/>
      <c r="V103" s="70"/>
      <c r="W103" s="70"/>
      <c r="X103" s="70"/>
      <c r="Y103" s="56"/>
      <c r="Z103" s="56"/>
      <c r="AA103" s="56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U103" s="313"/>
      <c r="AV103" s="313"/>
      <c r="AW103" s="313"/>
      <c r="AX103" s="313" t="s">
        <v>74</v>
      </c>
      <c r="AY103" s="313">
        <f>IF(H15="Imperial",       96,         2400)</f>
        <v>96</v>
      </c>
      <c r="AZ103" s="313"/>
      <c r="BA103" s="313"/>
      <c r="BB103" s="313"/>
      <c r="BC103" s="313"/>
      <c r="BD103" s="313"/>
      <c r="BE103" s="313"/>
      <c r="BF103" s="313"/>
      <c r="BG103" s="313"/>
      <c r="BH103" s="313"/>
      <c r="BI103" s="313"/>
      <c r="BJ103" s="313"/>
      <c r="BK103" s="424" t="s">
        <v>92</v>
      </c>
      <c r="BL103" s="424"/>
      <c r="BM103" s="424"/>
      <c r="BN103" s="425">
        <f>(BB67*1728)/AZ65</f>
        <v>2164.4640000000004</v>
      </c>
      <c r="BO103" s="391"/>
      <c r="BP103" s="384"/>
      <c r="BQ103" s="390"/>
      <c r="BR103" s="390"/>
      <c r="BS103" s="382"/>
      <c r="BT103" s="382"/>
      <c r="BU103" s="382"/>
      <c r="BV103" s="382"/>
      <c r="BW103" s="382"/>
      <c r="BX103" s="343"/>
      <c r="BY103" s="390" t="s">
        <v>42</v>
      </c>
      <c r="BZ103" s="390"/>
      <c r="CA103" s="382" t="s">
        <v>152</v>
      </c>
      <c r="CB103" s="384"/>
      <c r="CC103" s="62"/>
      <c r="CD103" s="62"/>
      <c r="CE103" s="62"/>
      <c r="CF103" s="62"/>
      <c r="CG103" s="62"/>
      <c r="CH103" s="62"/>
      <c r="CI103" s="94"/>
      <c r="CJ103" s="62"/>
      <c r="CK103" s="61"/>
      <c r="CL103" s="61"/>
      <c r="CM103" s="57"/>
      <c r="CN103" s="90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</row>
    <row r="104" spans="2:103" s="88" customFormat="1" ht="15" customHeigh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65"/>
      <c r="O104" s="65"/>
      <c r="P104" s="65"/>
      <c r="Q104" s="65"/>
      <c r="R104" s="65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428" t="s">
        <v>93</v>
      </c>
      <c r="BL104" s="428"/>
      <c r="BM104" s="428"/>
      <c r="BN104" s="417">
        <f>(BB67*1728)/AZ63</f>
        <v>2970.8329411764712</v>
      </c>
      <c r="BO104" s="391"/>
      <c r="BP104" s="384"/>
      <c r="BQ104" s="378">
        <f>IF(H15="Imperial",   IF(BR94=1,   IF(BV99=1,   AZ23,   IF(BV99=2,  BG23,  (2*(BB67+((((H55-4.5)*AZ61*AZ65)/1728)*(H33/100)))+(BT99*(BG67+((((H55-4.5)*BE61*BE65)/1728)*(H33/100))))))),                                                                                                              IF(BV99=1,          BD23+(BT99*BH27),             IF(BV99=2,              2*BB67,               (2*BB67)+(BT99*BG67)))),                                                                                                                                                                                              IF(BR94=1,       IF(BV99=1,   AZ23,   IF(BV99=2,    BG23,    (2*(BB67+((((H55-115)*AZ61*AZ65)/1000000000)*(H33/100)))+(BT99*(BG67+((((H55-115)*BE61*BE65)/1000000000)*(H33/100))))))),                                                                                                              IF(BV99=1,          BD23+(BT99*BH27),             IF(BV99=2,              2*BB67,               (2*BB67)+(BT99*BG67)))))</f>
        <v>303.53383333333335</v>
      </c>
      <c r="BR104" s="378">
        <f>IF(BT94=0,                       0,                          IF(BV99=1,                           BH27,               IF(BV99=2,                  2*BC67,                    (2*BC67)+(BT99*BH67))))</f>
        <v>161.74955555555556</v>
      </c>
      <c r="BS104" s="382">
        <f>IF(H37=1,          0,           IF(BR94=1,             1,         IF(BR94=2,                 ROUNDDOWN((BQ94/BQ104),0),                      ROUNDDOWN((BQ94-(2*BQ104))/BR104,0)+2)))</f>
        <v>2</v>
      </c>
      <c r="BT104" s="382">
        <f>IF(BR94&lt;3,                 0,                     ROUNDDOWN((BR94-(2*BQ104))/BR104,0))</f>
        <v>-3</v>
      </c>
      <c r="BU104" s="382"/>
      <c r="BV104" s="382"/>
      <c r="BW104" s="382"/>
      <c r="BX104" s="343"/>
      <c r="BY104" s="390"/>
      <c r="BZ104" s="390"/>
      <c r="CA104" s="382"/>
      <c r="CB104" s="384"/>
      <c r="CC104" s="63"/>
      <c r="CD104" s="63"/>
      <c r="CE104" s="63"/>
      <c r="CF104" s="63"/>
      <c r="CG104" s="63"/>
      <c r="CH104" s="63"/>
      <c r="CI104" s="65"/>
      <c r="CJ104" s="63"/>
      <c r="CK104" s="61"/>
      <c r="CL104" s="61"/>
      <c r="CM104" s="57"/>
      <c r="CN104" s="90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</row>
    <row r="105" spans="2:103" s="88" customFormat="1" ht="15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70"/>
      <c r="AC105" s="70"/>
      <c r="AD105" s="91"/>
      <c r="AU105" s="313"/>
      <c r="AV105" s="313"/>
      <c r="AW105" s="313"/>
      <c r="AX105" s="313" t="s">
        <v>75</v>
      </c>
      <c r="AY105" s="313">
        <f>IF(H15="Imperial",         IF(H19="SC-44",       22,       18),            IF(H19="SC-44",        550,         450))</f>
        <v>18</v>
      </c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424" t="s">
        <v>95</v>
      </c>
      <c r="BL105" s="424"/>
      <c r="BM105" s="424"/>
      <c r="BN105" s="388">
        <f>(BC67*1728)/BA65</f>
        <v>2026.4640000000004</v>
      </c>
      <c r="BO105" s="391"/>
      <c r="BP105" s="384"/>
      <c r="BQ105" s="378"/>
      <c r="BR105" s="378"/>
      <c r="BS105" s="382"/>
      <c r="BT105" s="382"/>
      <c r="BU105" s="382"/>
      <c r="BV105" s="382"/>
      <c r="BW105" s="382"/>
      <c r="BX105" s="343"/>
      <c r="BY105" s="358">
        <f>BT115</f>
        <v>2</v>
      </c>
      <c r="BZ105" s="358"/>
      <c r="CA105" s="358">
        <f>BT117</f>
        <v>0</v>
      </c>
      <c r="CB105" s="384"/>
      <c r="CC105" s="63"/>
      <c r="CD105" s="63"/>
      <c r="CE105" s="63"/>
      <c r="CF105" s="63"/>
      <c r="CG105" s="63"/>
      <c r="CH105" s="63"/>
      <c r="CI105" s="65"/>
      <c r="CJ105" s="63"/>
      <c r="CK105" s="61"/>
      <c r="CL105" s="57"/>
      <c r="CM105" s="57"/>
      <c r="CN105" s="90"/>
      <c r="CO105" s="57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</row>
    <row r="106" spans="2:103" s="88" customFormat="1" ht="15" customHeight="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91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428" t="s">
        <v>96</v>
      </c>
      <c r="BL106" s="428"/>
      <c r="BM106" s="428"/>
      <c r="BN106" s="417">
        <f>(BC67*1728)/BA63</f>
        <v>3083.7495652173916</v>
      </c>
      <c r="BO106" s="391"/>
      <c r="BP106" s="384"/>
      <c r="BQ106" s="382" t="s">
        <v>153</v>
      </c>
      <c r="BR106" s="382" t="s">
        <v>129</v>
      </c>
      <c r="BS106" s="382" t="s">
        <v>154</v>
      </c>
      <c r="BT106" s="382" t="s">
        <v>155</v>
      </c>
      <c r="BU106" s="383"/>
      <c r="BV106" s="383"/>
      <c r="BW106" s="383"/>
      <c r="BX106" s="343"/>
      <c r="BY106" s="358"/>
      <c r="BZ106" s="358"/>
      <c r="CA106" s="358"/>
      <c r="CB106" s="384"/>
      <c r="CC106" s="57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91"/>
    </row>
    <row r="107" spans="2:103" s="88" customFormat="1" ht="15" customHeight="1">
      <c r="B107" s="70"/>
      <c r="C107" s="70"/>
      <c r="D107" s="70"/>
      <c r="E107" s="70"/>
      <c r="F107" s="70"/>
      <c r="G107" s="70"/>
      <c r="H107" s="70"/>
      <c r="I107" s="70"/>
      <c r="J107" s="71"/>
      <c r="K107" s="70"/>
      <c r="L107" s="70"/>
      <c r="M107" s="89"/>
      <c r="N107" s="70"/>
      <c r="O107" s="70"/>
      <c r="P107" s="70"/>
      <c r="Q107" s="70"/>
      <c r="R107" s="70"/>
      <c r="S107" s="87"/>
      <c r="T107" s="87"/>
      <c r="U107" s="87"/>
      <c r="V107" s="87"/>
      <c r="W107" s="87"/>
      <c r="X107" s="87"/>
      <c r="Y107" s="87"/>
      <c r="Z107" s="87"/>
      <c r="AA107" s="87"/>
      <c r="AB107" s="65"/>
      <c r="AC107" s="70"/>
      <c r="AU107" s="313"/>
      <c r="AV107" s="313"/>
      <c r="AW107" s="313"/>
      <c r="AX107" s="313" t="s">
        <v>76</v>
      </c>
      <c r="AY107" s="313">
        <f>IF(H15="Imperial",          IF(H19="SC-44",         144,           192),           IF(H19="SC-44",           3650,           4850))</f>
        <v>192</v>
      </c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13"/>
      <c r="BJ107" s="313"/>
      <c r="BK107" s="416"/>
      <c r="BL107" s="416"/>
      <c r="BM107" s="416"/>
      <c r="BN107" s="391"/>
      <c r="BO107" s="391"/>
      <c r="BP107" s="384"/>
      <c r="BQ107" s="382"/>
      <c r="BR107" s="382"/>
      <c r="BS107" s="382"/>
      <c r="BT107" s="382"/>
      <c r="BU107" s="383"/>
      <c r="BV107" s="383"/>
      <c r="BW107" s="383"/>
      <c r="BX107" s="343"/>
      <c r="BY107" s="378"/>
      <c r="BZ107" s="378"/>
      <c r="CA107" s="378"/>
      <c r="CB107" s="384"/>
      <c r="CC107" s="57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</row>
    <row r="108" spans="2:103" s="88" customFormat="1" ht="1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89"/>
      <c r="N108" s="70"/>
      <c r="O108" s="70"/>
      <c r="P108" s="70"/>
      <c r="Q108" s="70"/>
      <c r="R108" s="70"/>
      <c r="S108" s="87"/>
      <c r="T108" s="87"/>
      <c r="U108" s="87"/>
      <c r="V108" s="87"/>
      <c r="W108" s="87"/>
      <c r="X108" s="87"/>
      <c r="Y108" s="87"/>
      <c r="Z108" s="87"/>
      <c r="AA108" s="87"/>
      <c r="AB108" s="70"/>
      <c r="AC108" s="70"/>
      <c r="AU108" s="313"/>
      <c r="AV108" s="313"/>
      <c r="AW108" s="313"/>
      <c r="AX108" s="313"/>
      <c r="AY108" s="313"/>
      <c r="AZ108" s="313" t="s">
        <v>84</v>
      </c>
      <c r="BA108" s="313">
        <f>IF(H15="Imperial",          12,          300)</f>
        <v>12</v>
      </c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428" t="s">
        <v>94</v>
      </c>
      <c r="BL108" s="428"/>
      <c r="BM108" s="428"/>
      <c r="BN108" s="417">
        <f>(BG67*1728)/BE65</f>
        <v>2262.0862921348312</v>
      </c>
      <c r="BO108" s="313"/>
      <c r="BP108" s="384"/>
      <c r="BQ108" s="382"/>
      <c r="BR108" s="382"/>
      <c r="BS108" s="382"/>
      <c r="BT108" s="382"/>
      <c r="BU108" s="383"/>
      <c r="BV108" s="383"/>
      <c r="BW108" s="383"/>
      <c r="BX108" s="343"/>
      <c r="BY108" s="378"/>
      <c r="BZ108" s="378"/>
      <c r="CA108" s="378"/>
      <c r="CB108" s="384"/>
      <c r="CC108" s="57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</row>
    <row r="109" spans="2:103" s="88" customFormat="1" ht="15.75" customHeight="1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89"/>
      <c r="N109" s="70"/>
      <c r="O109" s="70"/>
      <c r="P109" s="70"/>
      <c r="Q109" s="70"/>
      <c r="R109" s="70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70"/>
      <c r="AU109" s="313"/>
      <c r="AV109" s="313"/>
      <c r="AW109" s="313"/>
      <c r="AX109" s="313" t="s">
        <v>77</v>
      </c>
      <c r="AY109" s="313">
        <f>IF(H15="Imperial",       9,             225)</f>
        <v>9</v>
      </c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428" t="s">
        <v>97</v>
      </c>
      <c r="BL109" s="428"/>
      <c r="BM109" s="428"/>
      <c r="BN109" s="388">
        <f>(BG67*1728)/BE63</f>
        <v>2631.7082352941175</v>
      </c>
      <c r="BO109" s="313"/>
      <c r="BP109" s="440"/>
      <c r="BQ109" s="358">
        <f>H47</f>
        <v>2</v>
      </c>
      <c r="BR109" s="358">
        <f>IF(BQ109=0,              BO92,             BO92-BQ109)</f>
        <v>2</v>
      </c>
      <c r="BS109" s="358">
        <f>BV99-1</f>
        <v>0</v>
      </c>
      <c r="BT109" s="358">
        <f>IF(BS109&lt;=2,        0,         BS109-2)</f>
        <v>0</v>
      </c>
      <c r="BU109" s="383"/>
      <c r="BV109" s="383"/>
      <c r="BW109" s="383"/>
      <c r="BX109" s="343"/>
      <c r="BY109" s="378"/>
      <c r="BZ109" s="378"/>
      <c r="CA109" s="378"/>
      <c r="CB109" s="384"/>
      <c r="CC109" s="57"/>
      <c r="CD109" s="57"/>
      <c r="CE109" s="57"/>
      <c r="CF109" s="61"/>
      <c r="CG109" s="61"/>
      <c r="CH109" s="61"/>
      <c r="CI109" s="61"/>
      <c r="CJ109" s="61"/>
      <c r="CK109" s="61"/>
      <c r="CL109" s="61"/>
      <c r="CM109" s="61"/>
    </row>
    <row r="110" spans="2:103" s="88" customFormat="1" ht="15" customHeigh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89"/>
      <c r="N110" s="70"/>
      <c r="O110" s="70"/>
      <c r="P110" s="65"/>
      <c r="Q110" s="65"/>
      <c r="R110" s="65"/>
      <c r="S110" s="70"/>
      <c r="T110" s="70"/>
      <c r="U110" s="70"/>
      <c r="V110" s="70"/>
      <c r="W110" s="70"/>
      <c r="X110" s="70"/>
      <c r="Y110" s="70"/>
      <c r="Z110" s="70"/>
      <c r="AA110" s="70"/>
      <c r="AB110" s="87"/>
      <c r="AU110" s="313"/>
      <c r="AV110" s="313"/>
      <c r="AW110" s="313"/>
      <c r="AX110" s="441" t="str">
        <f>IF(H15="Imperial",         "Cubic Yards",         "Cubic Meters")</f>
        <v>Cubic Yards</v>
      </c>
      <c r="AY110" s="442" t="s">
        <v>167</v>
      </c>
      <c r="AZ110" s="442" t="s">
        <v>166</v>
      </c>
      <c r="BA110" s="442" t="s">
        <v>168</v>
      </c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428" t="s">
        <v>98</v>
      </c>
      <c r="BL110" s="428"/>
      <c r="BM110" s="428"/>
      <c r="BN110" s="417">
        <f>(BH67*1728)/BF65</f>
        <v>2124.0862921348312</v>
      </c>
      <c r="BO110" s="313"/>
      <c r="BP110" s="384"/>
      <c r="BQ110" s="358"/>
      <c r="BR110" s="358"/>
      <c r="BS110" s="358"/>
      <c r="BT110" s="358"/>
      <c r="BU110" s="383"/>
      <c r="BV110" s="383"/>
      <c r="BW110" s="383"/>
      <c r="BX110" s="343"/>
      <c r="BY110" s="378"/>
      <c r="BZ110" s="378"/>
      <c r="CA110" s="378"/>
      <c r="CB110" s="384"/>
      <c r="CC110" s="57"/>
      <c r="CD110" s="57"/>
      <c r="CE110" s="57"/>
      <c r="CF110" s="61"/>
      <c r="CG110" s="61"/>
      <c r="CH110" s="61"/>
      <c r="CI110" s="61"/>
      <c r="CJ110" s="61"/>
      <c r="CK110" s="61"/>
      <c r="CL110" s="61"/>
      <c r="CM110" s="61"/>
    </row>
    <row r="111" spans="2:103" s="88" customFormat="1" ht="15" customHeigh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89"/>
      <c r="N111" s="70"/>
      <c r="O111" s="70"/>
      <c r="P111" s="65"/>
      <c r="Q111" s="65"/>
      <c r="R111" s="65"/>
      <c r="S111" s="70"/>
      <c r="T111" s="70"/>
      <c r="U111" s="70"/>
      <c r="V111" s="70"/>
      <c r="W111" s="70"/>
      <c r="X111" s="70"/>
      <c r="Y111" s="70"/>
      <c r="Z111" s="70"/>
      <c r="AA111" s="70"/>
      <c r="AB111" s="87"/>
      <c r="AU111" s="313"/>
      <c r="AV111" s="313"/>
      <c r="AW111" s="313"/>
      <c r="AX111" s="443" t="s">
        <v>171</v>
      </c>
      <c r="AY111" s="313">
        <f>IF(U31=0,     IF(H15="Imperial",           (P29*P31*P33)/27,               (P29*P31*P33)),      IF(H15="Imperial",       ((P29*P31*P33)-((U31-U29)*BH53))/27,      (P29*P31*P33)-((U31-U29)*BH53)))</f>
        <v>45.964506172839506</v>
      </c>
      <c r="AZ111" s="313">
        <f>IF(H15="Imperial",       IF(U31=0,        IF(X29&lt;=2,           ((U29*X29)*AY53)/27,           (((2*U29)*AY53)+(((X29-2)*U29)*BD53))/27),               IF(X31&lt;=2,         (((U31*X31)*AY53)+((U29*X29)*BD53))/27,                                              IF(X29&lt;=2,               (((2*U31)*AY53)+((U29*X29)*AY53)+(((X31-2)*U31)*BD53))/27,                  (((2*U31)*AY53)+((2*U29)*AY53)+(((X31-2)*U31)*BD53)+(((X29-2)*U29)*BD53))/27))),                                          IF(U31=0,             IF(X29&lt;=2,                 (U29*X29)*AY53,                    ((2*U29)*AY53)+(((X29-2)*U29)*BD53)),                           IF(X31&lt;=2,             ((U31*X31)*AY53)+((U29*X29)*BD53),                                              IF(X29&lt;=2,               ((2*U31)*AY53)+((U29*X29)*AY53)+(((X31-2)*U31)*BD53),                  ((2*U31)*AY53)+((2*U29)*AY53)+(((X31-2)*U31)*BD53)+(((X29-2)*U29)*BD53)))))</f>
        <v>17.033333333333335</v>
      </c>
      <c r="BA111" s="313">
        <f>AY111-AZ111</f>
        <v>28.931172839506171</v>
      </c>
      <c r="BB111" s="313"/>
      <c r="BC111" s="313"/>
      <c r="BD111" s="313"/>
      <c r="BE111" s="313"/>
      <c r="BF111" s="313"/>
      <c r="BG111" s="313"/>
      <c r="BH111" s="313"/>
      <c r="BI111" s="415"/>
      <c r="BJ111" s="415"/>
      <c r="BK111" s="428" t="s">
        <v>99</v>
      </c>
      <c r="BL111" s="428"/>
      <c r="BM111" s="428"/>
      <c r="BN111" s="388">
        <f>(BH67*1728)/BF63</f>
        <v>2739.7634782608693</v>
      </c>
      <c r="BO111" s="313"/>
      <c r="BP111" s="393"/>
      <c r="BQ111" s="378"/>
      <c r="BR111" s="378"/>
      <c r="BS111" s="378"/>
      <c r="BT111" s="378"/>
      <c r="BU111" s="378"/>
      <c r="BV111" s="378"/>
      <c r="BW111" s="378"/>
      <c r="BX111" s="378"/>
      <c r="BY111" s="313"/>
      <c r="BZ111" s="313"/>
      <c r="CA111" s="313"/>
      <c r="CB111" s="384"/>
      <c r="CC111" s="57"/>
      <c r="CD111" s="57"/>
      <c r="CE111" s="57"/>
      <c r="CF111" s="61"/>
      <c r="CG111" s="61"/>
      <c r="CH111" s="61"/>
      <c r="CI111" s="61"/>
      <c r="CJ111" s="61"/>
      <c r="CK111" s="61"/>
      <c r="CL111" s="61"/>
      <c r="CM111" s="61"/>
    </row>
    <row r="112" spans="2:103" s="88" customFormat="1" ht="15" customHeight="1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89"/>
      <c r="N112" s="70"/>
      <c r="O112" s="70"/>
      <c r="P112" s="65"/>
      <c r="Q112" s="65"/>
      <c r="R112" s="65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U112" s="313"/>
      <c r="AV112" s="313"/>
      <c r="AW112" s="313"/>
      <c r="AX112" s="44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415"/>
      <c r="BJ112" s="415"/>
      <c r="BK112" s="416"/>
      <c r="BL112" s="416"/>
      <c r="BM112" s="416"/>
      <c r="BN112" s="388"/>
      <c r="BO112" s="313"/>
      <c r="BP112" s="393"/>
      <c r="BQ112" s="383"/>
      <c r="BR112" s="383"/>
      <c r="BS112" s="313"/>
      <c r="BT112" s="313"/>
      <c r="BU112" s="376"/>
      <c r="BV112" s="325"/>
      <c r="BW112" s="325"/>
      <c r="BX112" s="325"/>
      <c r="BY112" s="313"/>
      <c r="BZ112" s="313"/>
      <c r="CA112" s="313"/>
      <c r="CB112" s="384"/>
      <c r="CC112" s="57"/>
      <c r="CD112" s="57"/>
      <c r="CE112" s="57"/>
      <c r="CF112" s="61"/>
      <c r="CG112" s="61"/>
      <c r="CH112" s="61"/>
      <c r="CI112" s="61"/>
      <c r="CJ112" s="61"/>
      <c r="CK112" s="61"/>
      <c r="CL112" s="61"/>
      <c r="CM112" s="61"/>
    </row>
    <row r="113" spans="2:98" s="88" customFormat="1" ht="15" customHeight="1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89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U113" s="313"/>
      <c r="AV113" s="313"/>
      <c r="AW113" s="313"/>
      <c r="AX113" s="443" t="s">
        <v>162</v>
      </c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444"/>
      <c r="BJ113" s="444"/>
      <c r="BK113" s="416"/>
      <c r="BL113" s="416"/>
      <c r="BM113" s="416"/>
      <c r="BN113" s="388"/>
      <c r="BO113" s="313"/>
      <c r="BP113" s="393"/>
      <c r="BQ113" s="383"/>
      <c r="BR113" s="383"/>
      <c r="BS113" s="376" t="s">
        <v>184</v>
      </c>
      <c r="BT113" s="417">
        <f>H47</f>
        <v>2</v>
      </c>
      <c r="BU113" s="376"/>
      <c r="BV113" s="325"/>
      <c r="BW113" s="325"/>
      <c r="BX113" s="390"/>
      <c r="BY113" s="390"/>
      <c r="BZ113" s="313"/>
      <c r="CA113" s="313"/>
      <c r="CB113" s="384"/>
      <c r="CC113" s="57"/>
      <c r="CD113" s="57"/>
      <c r="CE113" s="57"/>
      <c r="CF113" s="61"/>
      <c r="CG113" s="61"/>
      <c r="CH113" s="61"/>
      <c r="CI113" s="61"/>
      <c r="CJ113" s="61"/>
      <c r="CK113" s="61"/>
      <c r="CL113" s="61"/>
      <c r="CM113" s="61"/>
    </row>
    <row r="114" spans="2:98" s="88" customFormat="1" ht="14.25" customHeight="1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89"/>
      <c r="N114" s="70"/>
      <c r="O114" s="70"/>
      <c r="P114" s="65"/>
      <c r="Q114" s="65"/>
      <c r="R114" s="65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U114" s="313"/>
      <c r="AV114" s="313"/>
      <c r="AW114" s="313"/>
      <c r="AX114" s="439" t="s">
        <v>163</v>
      </c>
      <c r="AY114" s="313">
        <f>IF(H15="Imperial",                (P41*P43*P45)/27,           P41*P43*P45)</f>
        <v>35.86355452674897</v>
      </c>
      <c r="AZ114" s="313">
        <f>IF(H15="Imperial",        IF(U43=0,         IF(X41&lt;=2,          ((U41*X41)*AY67)/27,            ((((X41-2)*U41)*BD67)+((2*U41)*AY67))/27),       IF(X43&lt;=2,      (((U43*X43)*AY67)+((U41*X41)*AY67))/27,       IF(X41&lt;=2,      (((2*U43)*AY67)+((U41*X41)*AY67)+(((X43-2)*U43)*BD67))/27,                    (((2*U43)*AY67)+((2*U41)*AY67)+(((X43-2)*U43)*BD67)+(((X41-2)*U41)*BD67))/27))),                                         IF(U43=0,                 IF(X41&lt;=2,               (U41*X41)*AY67,            (((X41-2)*U41)*BD67)+((2*U41)*AY67)),               IF(X43&lt;=2,          ((U43*X43)*AY67)+((U41*X41)*AY67),                       IF(X41&lt;=2,                         ((2*U43)*AY67)+((U41*X41)*AY67)+(((X43-2)*U43)*BD67),           ((2*U43)*AY67)+((2*U41)*AY67)+(((X43-2)*U43)*BD67)+(((X41-2)*U41)*BD67)))))</f>
        <v>5.677777777777778</v>
      </c>
      <c r="BA114" s="313">
        <f>AY114-AZ114</f>
        <v>30.185776748971193</v>
      </c>
      <c r="BB114" s="313"/>
      <c r="BC114" s="313"/>
      <c r="BD114" s="313"/>
      <c r="BE114" s="313"/>
      <c r="BF114" s="313"/>
      <c r="BG114" s="313"/>
      <c r="BH114" s="313"/>
      <c r="BI114" s="337"/>
      <c r="BJ114" s="337"/>
      <c r="BK114" s="416"/>
      <c r="BL114" s="416"/>
      <c r="BM114" s="416"/>
      <c r="BN114" s="388"/>
      <c r="BO114" s="313"/>
      <c r="BP114" s="325"/>
      <c r="BQ114" s="383"/>
      <c r="BR114" s="383"/>
      <c r="BS114" s="429" t="s">
        <v>135</v>
      </c>
      <c r="BT114" s="335">
        <f>IF((BR94*BV99)&lt;=BT113,           0,                BR94)</f>
        <v>4</v>
      </c>
      <c r="BU114" s="380" t="s">
        <v>139</v>
      </c>
      <c r="BV114" s="318"/>
      <c r="BW114" s="318"/>
      <c r="BX114" s="378"/>
      <c r="BY114" s="378"/>
      <c r="BZ114" s="415"/>
      <c r="CA114" s="415"/>
      <c r="CB114" s="384"/>
      <c r="CC114" s="57"/>
      <c r="CD114" s="57"/>
      <c r="CE114" s="57"/>
      <c r="CF114" s="61"/>
      <c r="CG114" s="57"/>
      <c r="CH114" s="57"/>
      <c r="CI114" s="57"/>
      <c r="CJ114" s="57"/>
      <c r="CK114" s="57"/>
      <c r="CL114" s="57"/>
      <c r="CM114" s="61"/>
      <c r="CN114" s="61"/>
      <c r="CO114" s="61"/>
      <c r="CP114" s="61"/>
      <c r="CQ114" s="61"/>
      <c r="CR114" s="61"/>
      <c r="CS114" s="61"/>
      <c r="CT114" s="61"/>
    </row>
    <row r="115" spans="2:98" s="88" customFormat="1" ht="15" customHeight="1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89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U115" s="313"/>
      <c r="AV115" s="313"/>
      <c r="AW115" s="313"/>
      <c r="AX115" s="439" t="s">
        <v>169</v>
      </c>
      <c r="AY115" s="313">
        <f>AY111+AY114</f>
        <v>81.828060699588477</v>
      </c>
      <c r="AZ115" s="313">
        <f t="shared" ref="AZ115:BA115" si="2">AZ111+AZ114</f>
        <v>22.711111111111112</v>
      </c>
      <c r="BA115" s="313">
        <f t="shared" si="2"/>
        <v>59.116949588477368</v>
      </c>
      <c r="BB115" s="313"/>
      <c r="BC115" s="313"/>
      <c r="BD115" s="313"/>
      <c r="BE115" s="313"/>
      <c r="BF115" s="313"/>
      <c r="BG115" s="313"/>
      <c r="BH115" s="313"/>
      <c r="BI115" s="337"/>
      <c r="BJ115" s="337"/>
      <c r="BK115" s="416"/>
      <c r="BL115" s="416"/>
      <c r="BM115" s="416"/>
      <c r="BN115" s="388"/>
      <c r="BO115" s="313"/>
      <c r="BP115" s="391"/>
      <c r="BQ115" s="318"/>
      <c r="BR115" s="318"/>
      <c r="BS115" s="429" t="s">
        <v>151</v>
      </c>
      <c r="BT115" s="335">
        <f>IF(H37=1,          0,        IF((BR94*BV99)&lt;=BT113,           0,              IF(BT114&lt;=BT113,              BR94,         BT114-H47)))</f>
        <v>2</v>
      </c>
      <c r="BU115" s="380" t="s">
        <v>138</v>
      </c>
      <c r="BV115" s="318"/>
      <c r="BW115" s="318"/>
      <c r="BX115" s="405"/>
      <c r="BY115" s="405"/>
      <c r="BZ115" s="415"/>
      <c r="CA115" s="415"/>
      <c r="CB115" s="384"/>
      <c r="CC115" s="57"/>
      <c r="CD115" s="57"/>
      <c r="CE115" s="57"/>
      <c r="CF115" s="61"/>
      <c r="CG115" s="97"/>
      <c r="CH115" s="97"/>
      <c r="CI115" s="98"/>
      <c r="CJ115" s="98"/>
      <c r="CK115" s="98"/>
      <c r="CL115" s="98"/>
    </row>
    <row r="116" spans="2:98" s="88" customFormat="1" ht="15" customHeight="1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89"/>
      <c r="N116" s="70"/>
      <c r="O116" s="70"/>
      <c r="P116" s="65"/>
      <c r="Q116" s="65"/>
      <c r="R116" s="65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U116" s="313"/>
      <c r="AV116" s="313"/>
      <c r="AW116" s="313"/>
      <c r="AX116" s="44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91"/>
      <c r="BJ116" s="376"/>
      <c r="BK116" s="416"/>
      <c r="BL116" s="416"/>
      <c r="BM116" s="416"/>
      <c r="BN116" s="388"/>
      <c r="BO116" s="313"/>
      <c r="BP116" s="391"/>
      <c r="BQ116" s="318"/>
      <c r="BR116" s="318"/>
      <c r="BS116" s="429" t="s">
        <v>142</v>
      </c>
      <c r="BT116" s="335">
        <f>BT114-BT115</f>
        <v>2</v>
      </c>
      <c r="BU116" s="313"/>
      <c r="BV116" s="313"/>
      <c r="BW116" s="313"/>
      <c r="BX116" s="445"/>
      <c r="BY116" s="445"/>
      <c r="BZ116" s="415"/>
      <c r="CA116" s="415"/>
      <c r="CB116" s="384"/>
      <c r="CC116" s="61"/>
      <c r="CD116" s="57"/>
      <c r="CE116" s="57"/>
      <c r="CF116" s="61"/>
      <c r="CG116" s="211"/>
      <c r="CH116" s="211"/>
      <c r="CI116" s="211"/>
      <c r="CJ116" s="98"/>
      <c r="CK116" s="98"/>
      <c r="CL116" s="98"/>
    </row>
    <row r="117" spans="2:98" s="88" customFormat="1" ht="15" customHeight="1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89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U117" s="313"/>
      <c r="AV117" s="313"/>
      <c r="AW117" s="313"/>
      <c r="AX117" s="443" t="s">
        <v>164</v>
      </c>
      <c r="AY117" s="313" t="s">
        <v>170</v>
      </c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91"/>
      <c r="BJ117" s="376"/>
      <c r="BK117" s="416"/>
      <c r="BL117" s="416"/>
      <c r="BM117" s="416"/>
      <c r="BN117" s="388"/>
      <c r="BO117" s="313"/>
      <c r="BP117" s="393"/>
      <c r="BQ117" s="324"/>
      <c r="BR117" s="324"/>
      <c r="BS117" s="429" t="s">
        <v>136</v>
      </c>
      <c r="BT117" s="335">
        <f>IF(BT114=0,          0,         BT118-1)</f>
        <v>0</v>
      </c>
      <c r="BU117" s="380"/>
      <c r="BV117" s="380"/>
      <c r="BW117" s="407"/>
      <c r="BX117" s="401"/>
      <c r="BY117" s="401"/>
      <c r="BZ117" s="415"/>
      <c r="CA117" s="415"/>
      <c r="CB117" s="384"/>
      <c r="CC117" s="61"/>
      <c r="CD117" s="57"/>
      <c r="CE117" s="57"/>
      <c r="CF117" s="61"/>
      <c r="CG117" s="211"/>
      <c r="CH117" s="211"/>
      <c r="CI117" s="211"/>
      <c r="CJ117" s="98"/>
      <c r="CK117" s="98"/>
      <c r="CL117" s="98"/>
    </row>
    <row r="118" spans="2:98" s="88" customFormat="1" ht="15" customHeight="1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89"/>
      <c r="N118" s="70"/>
      <c r="O118" s="70"/>
      <c r="P118" s="65"/>
      <c r="Q118" s="65"/>
      <c r="R118" s="65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U118" s="313"/>
      <c r="AV118" s="313"/>
      <c r="AW118" s="313"/>
      <c r="AX118" s="439" t="s">
        <v>165</v>
      </c>
      <c r="AY118" s="313">
        <f>IF(H15="Imperial",                   (P53*P55*P57)/27,             P53*P55*P57)</f>
        <v>0</v>
      </c>
      <c r="AZ118" s="313">
        <f>IF(H15="Imperial",                IF(X53&lt;=2,               ((U53*X53)*AY79)/27,                   (((2*U53)*AY79)+(((X53-2)*U53)*BD79))/27),             IF(X53&lt;=2,               ((U53*X53)*AY79),                   ((2*U53)*AY79)+(((X53-2)*U53)*BD79)))</f>
        <v>0</v>
      </c>
      <c r="BA118" s="313">
        <f>AY118-AZ118</f>
        <v>0</v>
      </c>
      <c r="BB118" s="313"/>
      <c r="BC118" s="313"/>
      <c r="BD118" s="313"/>
      <c r="BE118" s="313"/>
      <c r="BF118" s="313"/>
      <c r="BG118" s="313"/>
      <c r="BH118" s="313"/>
      <c r="BI118" s="391"/>
      <c r="BJ118" s="376"/>
      <c r="BK118" s="416"/>
      <c r="BL118" s="416"/>
      <c r="BM118" s="416"/>
      <c r="BN118" s="388"/>
      <c r="BO118" s="313"/>
      <c r="BP118" s="325"/>
      <c r="BQ118" s="324"/>
      <c r="BR118" s="324"/>
      <c r="BS118" s="429" t="s">
        <v>137</v>
      </c>
      <c r="BT118" s="335">
        <f>IF(BT114=0,       0,      IF(BT114=BT113,           BV99-1,          BV99))</f>
        <v>1</v>
      </c>
      <c r="BU118" s="380"/>
      <c r="BV118" s="380"/>
      <c r="BW118" s="407"/>
      <c r="BX118" s="445"/>
      <c r="BY118" s="445"/>
      <c r="BZ118" s="415"/>
      <c r="CA118" s="415"/>
      <c r="CB118" s="384"/>
      <c r="CC118" s="57"/>
      <c r="CD118" s="57"/>
      <c r="CE118" s="57"/>
      <c r="CF118" s="61"/>
      <c r="CG118" s="91"/>
      <c r="CH118" s="91"/>
      <c r="CI118" s="91"/>
    </row>
    <row r="119" spans="2:98" s="88" customFormat="1" ht="15.75" customHeight="1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89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U119" s="313"/>
      <c r="AV119" s="313"/>
      <c r="AW119" s="313"/>
      <c r="AX119" s="439" t="s">
        <v>169</v>
      </c>
      <c r="AY119" s="313">
        <f>AY115+AY118</f>
        <v>81.828060699588477</v>
      </c>
      <c r="AZ119" s="313">
        <f t="shared" ref="AZ119" si="3">AZ115+AZ118</f>
        <v>22.711111111111112</v>
      </c>
      <c r="BA119" s="313">
        <f>BA115+BA118</f>
        <v>59.116949588477368</v>
      </c>
      <c r="BB119" s="313"/>
      <c r="BC119" s="313"/>
      <c r="BD119" s="313"/>
      <c r="BE119" s="313"/>
      <c r="BF119" s="313"/>
      <c r="BG119" s="313"/>
      <c r="BH119" s="313"/>
      <c r="BI119" s="391"/>
      <c r="BJ119" s="376"/>
      <c r="BK119" s="416"/>
      <c r="BL119" s="416"/>
      <c r="BM119" s="416"/>
      <c r="BN119" s="388"/>
      <c r="BO119" s="313"/>
      <c r="BP119" s="313"/>
      <c r="BQ119" s="324"/>
      <c r="BR119" s="324"/>
      <c r="BS119" s="383"/>
      <c r="BT119" s="383"/>
      <c r="BU119" s="383"/>
      <c r="BV119" s="383"/>
      <c r="BW119" s="407"/>
      <c r="BX119" s="324"/>
      <c r="BY119" s="415"/>
      <c r="BZ119" s="415"/>
      <c r="CA119" s="415"/>
      <c r="CB119" s="384"/>
      <c r="CC119" s="57"/>
      <c r="CD119" s="57"/>
      <c r="CE119" s="57"/>
      <c r="CF119" s="91"/>
      <c r="CG119" s="91"/>
      <c r="CH119" s="91"/>
      <c r="CI119" s="91"/>
    </row>
    <row r="120" spans="2:98" s="88" customFormat="1" ht="15" customHeight="1">
      <c r="B120" s="70"/>
      <c r="C120" s="313"/>
      <c r="D120" s="313"/>
      <c r="E120" s="313"/>
      <c r="F120" s="313"/>
      <c r="G120" s="313"/>
      <c r="H120" s="313"/>
      <c r="I120" s="313"/>
      <c r="J120" s="313"/>
      <c r="K120" s="313"/>
      <c r="L120" s="313"/>
      <c r="M120" s="314"/>
      <c r="N120" s="313"/>
      <c r="O120" s="313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91"/>
      <c r="BJ120" s="376"/>
      <c r="BK120" s="416"/>
      <c r="BL120" s="416"/>
      <c r="BM120" s="416"/>
      <c r="BN120" s="388"/>
      <c r="BO120" s="313"/>
      <c r="BP120" s="313"/>
      <c r="BQ120" s="318"/>
      <c r="BR120" s="318"/>
      <c r="BS120" s="446" t="s">
        <v>146</v>
      </c>
      <c r="BT120" s="378" t="str">
        <f>IF(BT114&gt;15, "yes",  "no")</f>
        <v>no</v>
      </c>
      <c r="BU120" s="447" t="s">
        <v>147</v>
      </c>
      <c r="BV120" s="447"/>
      <c r="BW120" s="313" t="s">
        <v>150</v>
      </c>
      <c r="BX120" s="324"/>
      <c r="BY120" s="415"/>
      <c r="BZ120" s="415"/>
      <c r="CA120" s="415"/>
      <c r="CB120" s="384"/>
      <c r="CC120" s="67"/>
      <c r="CD120" s="61"/>
      <c r="CE120" s="61"/>
      <c r="CF120" s="100"/>
      <c r="CG120" s="91"/>
      <c r="CH120" s="91"/>
      <c r="CI120" s="91"/>
    </row>
    <row r="121" spans="2:98" s="88" customFormat="1" ht="15.75" customHeight="1">
      <c r="B121" s="70"/>
      <c r="C121" s="313"/>
      <c r="D121" s="313"/>
      <c r="E121" s="313"/>
      <c r="F121" s="313"/>
      <c r="G121" s="313"/>
      <c r="H121" s="313"/>
      <c r="I121" s="313"/>
      <c r="J121" s="313"/>
      <c r="K121" s="313"/>
      <c r="L121" s="313"/>
      <c r="M121" s="314"/>
      <c r="N121" s="313"/>
      <c r="O121" s="313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433"/>
      <c r="BI121" s="391"/>
      <c r="BJ121" s="376"/>
      <c r="BK121" s="416"/>
      <c r="BL121" s="416"/>
      <c r="BM121" s="416"/>
      <c r="BN121" s="388"/>
      <c r="BO121" s="313"/>
      <c r="BP121" s="313"/>
      <c r="BQ121" s="318"/>
      <c r="BR121" s="318"/>
      <c r="BS121" s="446"/>
      <c r="BT121" s="378"/>
      <c r="BU121" s="447"/>
      <c r="BV121" s="447"/>
      <c r="BW121" s="335">
        <f>IF(BT122="yes",         1,      IF(BT120="yes",       3,       2))</f>
        <v>2</v>
      </c>
      <c r="BX121" s="324"/>
      <c r="BY121" s="415"/>
      <c r="BZ121" s="415"/>
      <c r="CA121" s="415"/>
      <c r="CB121" s="384"/>
      <c r="CC121" s="90"/>
      <c r="CD121" s="61"/>
      <c r="CE121" s="61"/>
      <c r="CF121" s="100"/>
      <c r="CG121" s="91"/>
      <c r="CH121" s="91"/>
      <c r="CI121" s="91"/>
    </row>
    <row r="122" spans="2:98" s="88" customFormat="1" ht="15" customHeight="1">
      <c r="B122" s="70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4"/>
      <c r="N122" s="313"/>
      <c r="O122" s="313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U122" s="313"/>
      <c r="AV122" s="313"/>
      <c r="AW122" s="313"/>
      <c r="AX122" s="313"/>
      <c r="AY122" s="313"/>
      <c r="AZ122" s="313"/>
      <c r="BA122" s="313"/>
      <c r="BB122" s="313"/>
      <c r="BC122" s="313"/>
      <c r="BD122" s="313"/>
      <c r="BE122" s="313"/>
      <c r="BF122" s="313"/>
      <c r="BG122" s="313"/>
      <c r="BH122" s="433"/>
      <c r="BI122" s="337"/>
      <c r="BJ122" s="376"/>
      <c r="BK122" s="416"/>
      <c r="BL122" s="416"/>
      <c r="BM122" s="416"/>
      <c r="BN122" s="388"/>
      <c r="BO122" s="313"/>
      <c r="BP122" s="335"/>
      <c r="BQ122" s="313"/>
      <c r="BR122" s="313"/>
      <c r="BS122" s="429" t="s">
        <v>148</v>
      </c>
      <c r="BT122" s="335" t="str">
        <f>IF(BT114&lt;4,      "yes",        "no")</f>
        <v>no</v>
      </c>
      <c r="BU122" s="380" t="s">
        <v>149</v>
      </c>
      <c r="BV122" s="380"/>
      <c r="BW122" s="325"/>
      <c r="BX122" s="324"/>
      <c r="BY122" s="415"/>
      <c r="BZ122" s="415"/>
      <c r="CA122" s="415"/>
      <c r="CB122" s="384"/>
      <c r="CC122" s="90"/>
      <c r="CD122" s="57"/>
      <c r="CE122" s="66"/>
      <c r="CF122" s="97"/>
      <c r="CG122" s="91"/>
      <c r="CH122" s="91"/>
      <c r="CI122" s="91"/>
    </row>
    <row r="123" spans="2:98" s="88" customFormat="1" ht="14.25" customHeight="1">
      <c r="B123" s="70"/>
      <c r="C123" s="313"/>
      <c r="D123" s="313"/>
      <c r="E123" s="313"/>
      <c r="F123" s="313"/>
      <c r="G123" s="313"/>
      <c r="H123" s="313"/>
      <c r="I123" s="313"/>
      <c r="J123" s="315"/>
      <c r="K123" s="313"/>
      <c r="L123" s="316"/>
      <c r="M123" s="313"/>
      <c r="N123" s="313"/>
      <c r="O123" s="313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37"/>
      <c r="BJ123" s="376"/>
      <c r="BK123" s="416"/>
      <c r="BL123" s="416"/>
      <c r="BM123" s="416"/>
      <c r="BN123" s="388"/>
      <c r="BO123" s="313"/>
      <c r="BP123" s="335"/>
      <c r="BQ123" s="313"/>
      <c r="BR123" s="313"/>
      <c r="BS123" s="313"/>
      <c r="BT123" s="313"/>
      <c r="BU123" s="313"/>
      <c r="BV123" s="380"/>
      <c r="BW123" s="325"/>
      <c r="BX123" s="324"/>
      <c r="BY123" s="415"/>
      <c r="BZ123" s="415"/>
      <c r="CA123" s="415"/>
      <c r="CB123" s="384"/>
      <c r="CC123" s="90"/>
      <c r="CD123" s="57"/>
      <c r="CE123" s="66"/>
      <c r="CF123" s="97"/>
    </row>
    <row r="124" spans="2:98" s="88" customFormat="1" ht="15" customHeight="1">
      <c r="B124" s="70"/>
      <c r="C124" s="313"/>
      <c r="D124" s="313"/>
      <c r="E124" s="313"/>
      <c r="F124" s="313"/>
      <c r="G124" s="313"/>
      <c r="H124" s="317">
        <v>34</v>
      </c>
      <c r="I124" s="317">
        <v>44</v>
      </c>
      <c r="J124" s="313"/>
      <c r="K124" s="313"/>
      <c r="L124" s="313"/>
      <c r="M124" s="313"/>
      <c r="N124" s="318"/>
      <c r="O124" s="318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67"/>
      <c r="BJ124" s="376"/>
      <c r="BK124" s="416"/>
      <c r="BL124" s="416"/>
      <c r="BM124" s="416"/>
      <c r="BN124" s="388"/>
      <c r="BO124" s="313"/>
      <c r="BP124" s="335"/>
      <c r="BQ124" s="313"/>
      <c r="BR124" s="313"/>
      <c r="BS124" s="313"/>
      <c r="BT124" s="313"/>
      <c r="BU124" s="380"/>
      <c r="BV124" s="380"/>
      <c r="BW124" s="325"/>
      <c r="BX124" s="324"/>
      <c r="BY124" s="415"/>
      <c r="BZ124" s="415"/>
      <c r="CA124" s="415"/>
      <c r="CB124" s="384"/>
      <c r="CC124" s="90"/>
      <c r="CD124" s="90"/>
      <c r="CE124" s="90"/>
      <c r="CF124" s="97"/>
    </row>
    <row r="125" spans="2:98" s="88" customFormat="1" ht="15" customHeight="1">
      <c r="B125" s="70"/>
      <c r="C125" s="313"/>
      <c r="D125" s="313" t="s">
        <v>79</v>
      </c>
      <c r="E125" s="313"/>
      <c r="F125" s="313"/>
      <c r="G125" s="313"/>
      <c r="H125" s="313">
        <v>6</v>
      </c>
      <c r="I125" s="313">
        <v>9</v>
      </c>
      <c r="J125" s="313"/>
      <c r="K125" s="313"/>
      <c r="L125" s="316"/>
      <c r="M125" s="313"/>
      <c r="N125" s="318"/>
      <c r="O125" s="318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67"/>
      <c r="BJ125" s="376"/>
      <c r="BK125" s="416"/>
      <c r="BL125" s="416"/>
      <c r="BM125" s="416"/>
      <c r="BN125" s="388"/>
      <c r="BO125" s="313"/>
      <c r="BP125" s="335"/>
      <c r="BQ125" s="383"/>
      <c r="BR125" s="383"/>
      <c r="BS125" s="313"/>
      <c r="BT125" s="313"/>
      <c r="BU125" s="313"/>
      <c r="BV125" s="380"/>
      <c r="BW125" s="325"/>
      <c r="BX125" s="324"/>
      <c r="BY125" s="415"/>
      <c r="BZ125" s="415"/>
      <c r="CA125" s="415"/>
      <c r="CB125" s="384"/>
      <c r="CC125" s="57"/>
      <c r="CD125" s="90"/>
      <c r="CE125" s="90"/>
      <c r="CF125" s="97"/>
    </row>
    <row r="126" spans="2:98" s="88" customFormat="1" ht="15" customHeight="1">
      <c r="B126" s="70"/>
      <c r="C126" s="313"/>
      <c r="D126" s="313" t="s">
        <v>80</v>
      </c>
      <c r="E126" s="313"/>
      <c r="F126" s="313"/>
      <c r="G126" s="313"/>
      <c r="H126" s="313">
        <v>96</v>
      </c>
      <c r="I126" s="313">
        <v>96</v>
      </c>
      <c r="J126" s="313"/>
      <c r="K126" s="313"/>
      <c r="L126" s="313"/>
      <c r="M126" s="313"/>
      <c r="N126" s="318"/>
      <c r="O126" s="318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67"/>
      <c r="BJ126" s="376"/>
      <c r="BK126" s="416"/>
      <c r="BL126" s="416"/>
      <c r="BM126" s="416"/>
      <c r="BN126" s="388"/>
      <c r="BO126" s="313"/>
      <c r="BP126" s="335"/>
      <c r="BQ126" s="313"/>
      <c r="BR126" s="313"/>
      <c r="BS126" s="429"/>
      <c r="BT126" s="335"/>
      <c r="BU126" s="380"/>
      <c r="BV126" s="380"/>
      <c r="BW126" s="325"/>
      <c r="BX126" s="324"/>
      <c r="BY126" s="415"/>
      <c r="BZ126" s="415"/>
      <c r="CA126" s="415"/>
      <c r="CB126" s="384"/>
      <c r="CC126" s="57"/>
      <c r="CD126" s="90"/>
      <c r="CE126" s="90"/>
      <c r="CF126" s="97"/>
    </row>
    <row r="127" spans="2:98" s="88" customFormat="1" ht="15.75" customHeight="1">
      <c r="B127" s="70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67"/>
      <c r="BJ127" s="376"/>
      <c r="BK127" s="416"/>
      <c r="BL127" s="416"/>
      <c r="BM127" s="416"/>
      <c r="BN127" s="388"/>
      <c r="BO127" s="313"/>
      <c r="BP127" s="335"/>
      <c r="BQ127" s="313"/>
      <c r="BR127" s="313"/>
      <c r="BS127" s="313"/>
      <c r="BT127" s="313"/>
      <c r="BU127" s="313"/>
      <c r="BV127" s="313"/>
      <c r="BW127" s="325"/>
      <c r="BX127" s="324"/>
      <c r="BY127" s="415"/>
      <c r="BZ127" s="415"/>
      <c r="CA127" s="415"/>
      <c r="CB127" s="384"/>
      <c r="CC127" s="57"/>
      <c r="CD127" s="90"/>
      <c r="CE127" s="90"/>
      <c r="CF127" s="98"/>
    </row>
    <row r="128" spans="2:98" s="88" customFormat="1" ht="15" customHeight="1">
      <c r="B128" s="70"/>
      <c r="C128" s="313"/>
      <c r="D128" s="313" t="s">
        <v>81</v>
      </c>
      <c r="E128" s="313"/>
      <c r="F128" s="313"/>
      <c r="G128" s="313"/>
      <c r="H128" s="313">
        <v>18</v>
      </c>
      <c r="I128" s="313">
        <v>22</v>
      </c>
      <c r="J128" s="315"/>
      <c r="K128" s="313"/>
      <c r="L128" s="313"/>
      <c r="M128" s="313"/>
      <c r="N128" s="318"/>
      <c r="O128" s="318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/>
      <c r="BH128" s="313"/>
      <c r="BI128" s="367"/>
      <c r="BJ128" s="376"/>
      <c r="BK128" s="376"/>
      <c r="BL128" s="313"/>
      <c r="BM128" s="313"/>
      <c r="BN128" s="313"/>
      <c r="BO128" s="313"/>
      <c r="BP128" s="335"/>
      <c r="BQ128" s="313"/>
      <c r="BR128" s="313"/>
      <c r="BS128" s="429"/>
      <c r="BT128" s="335"/>
      <c r="BU128" s="380"/>
      <c r="BV128" s="380"/>
      <c r="BW128" s="325"/>
      <c r="BX128" s="324"/>
      <c r="BY128" s="415"/>
      <c r="BZ128" s="415"/>
      <c r="CA128" s="415"/>
      <c r="CB128" s="384"/>
      <c r="CC128" s="57"/>
      <c r="CD128" s="90"/>
      <c r="CE128" s="90"/>
      <c r="CF128" s="98"/>
    </row>
    <row r="129" spans="2:92" s="88" customFormat="1" ht="15" customHeight="1">
      <c r="B129" s="70"/>
      <c r="C129" s="313"/>
      <c r="D129" s="313" t="s">
        <v>82</v>
      </c>
      <c r="E129" s="313"/>
      <c r="F129" s="313"/>
      <c r="G129" s="313"/>
      <c r="H129" s="313">
        <v>192</v>
      </c>
      <c r="I129" s="313">
        <v>144</v>
      </c>
      <c r="J129" s="313"/>
      <c r="K129" s="313"/>
      <c r="L129" s="313"/>
      <c r="M129" s="313"/>
      <c r="N129" s="313"/>
      <c r="O129" s="313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67"/>
      <c r="BJ129" s="376"/>
      <c r="BK129" s="315" t="str">
        <f>IF($H$15="Imperial",                 "Imperial (inches and ft)",               "Metric (mm and meters)")</f>
        <v>Imperial (inches and ft)</v>
      </c>
      <c r="BL129" s="365" t="str">
        <f>IF($H$23=1,               "by system width",             "by system length")</f>
        <v>by system length</v>
      </c>
      <c r="BM129" s="365"/>
      <c r="BN129" s="365"/>
      <c r="BO129" s="365"/>
      <c r="BP129" s="335"/>
      <c r="BQ129" s="342" t="s">
        <v>158</v>
      </c>
      <c r="BR129" s="342"/>
      <c r="BS129" s="342"/>
      <c r="BT129" s="342"/>
      <c r="BU129" s="342"/>
      <c r="BV129" s="342"/>
      <c r="BW129" s="342"/>
      <c r="BX129" s="342"/>
      <c r="BY129" s="342"/>
      <c r="BZ129" s="343"/>
      <c r="CA129" s="343"/>
      <c r="CB129" s="384"/>
      <c r="CC129" s="90"/>
      <c r="CD129" s="90"/>
      <c r="CE129" s="90"/>
      <c r="CF129" s="98"/>
    </row>
    <row r="130" spans="2:92" s="88" customFormat="1" ht="15" customHeight="1">
      <c r="B130" s="70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8"/>
      <c r="O130" s="318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37"/>
      <c r="BJ130" s="376"/>
      <c r="BK130" s="373" t="s">
        <v>29</v>
      </c>
      <c r="BL130" s="372" t="s">
        <v>32</v>
      </c>
      <c r="BM130" s="373" t="s">
        <v>26</v>
      </c>
      <c r="BN130" s="373" t="s">
        <v>27</v>
      </c>
      <c r="BO130" s="373" t="s">
        <v>28</v>
      </c>
      <c r="BP130" s="393"/>
      <c r="BQ130" s="342"/>
      <c r="BR130" s="342"/>
      <c r="BS130" s="342"/>
      <c r="BT130" s="342"/>
      <c r="BU130" s="342"/>
      <c r="BV130" s="342"/>
      <c r="BW130" s="342"/>
      <c r="BX130" s="342"/>
      <c r="BY130" s="342"/>
      <c r="BZ130" s="343"/>
      <c r="CA130" s="343"/>
      <c r="CB130" s="384"/>
      <c r="CC130" s="90"/>
      <c r="CD130" s="90"/>
      <c r="CE130" s="90"/>
      <c r="CF130" s="98"/>
    </row>
    <row r="131" spans="2:92" s="88" customFormat="1" ht="15" customHeight="1">
      <c r="B131" s="70"/>
      <c r="C131" s="313"/>
      <c r="D131" s="313" t="s">
        <v>83</v>
      </c>
      <c r="E131" s="313"/>
      <c r="F131" s="313"/>
      <c r="G131" s="319"/>
      <c r="H131" s="313">
        <v>12</v>
      </c>
      <c r="I131" s="313">
        <v>12</v>
      </c>
      <c r="J131" s="313"/>
      <c r="K131" s="313"/>
      <c r="L131" s="313"/>
      <c r="M131" s="313"/>
      <c r="N131" s="313"/>
      <c r="O131" s="313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37"/>
      <c r="BJ131" s="376"/>
      <c r="BK131" s="373"/>
      <c r="BL131" s="372"/>
      <c r="BM131" s="373"/>
      <c r="BN131" s="373"/>
      <c r="BO131" s="373"/>
      <c r="BP131" s="393"/>
      <c r="BQ131" s="354" t="s">
        <v>121</v>
      </c>
      <c r="BR131" s="354"/>
      <c r="BS131" s="354"/>
      <c r="BT131" s="354"/>
      <c r="BU131" s="354"/>
      <c r="BV131" s="354"/>
      <c r="BW131" s="354"/>
      <c r="BX131" s="354"/>
      <c r="BY131" s="354"/>
      <c r="BZ131" s="343"/>
      <c r="CA131" s="343"/>
      <c r="CB131" s="384"/>
      <c r="CC131" s="90"/>
      <c r="CD131" s="90"/>
      <c r="CE131" s="90"/>
      <c r="CF131" s="98"/>
    </row>
    <row r="132" spans="2:92" s="88" customFormat="1" ht="15" customHeight="1">
      <c r="B132" s="71"/>
      <c r="C132" s="313"/>
      <c r="D132" s="319"/>
      <c r="E132" s="319"/>
      <c r="F132" s="319"/>
      <c r="G132" s="319"/>
      <c r="H132" s="319"/>
      <c r="I132" s="319"/>
      <c r="J132" s="313"/>
      <c r="K132" s="313"/>
      <c r="L132" s="313"/>
      <c r="M132" s="320"/>
      <c r="N132" s="318"/>
      <c r="O132" s="318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37"/>
      <c r="BJ132" s="376"/>
      <c r="BK132" s="373"/>
      <c r="BL132" s="372"/>
      <c r="BM132" s="373"/>
      <c r="BN132" s="373"/>
      <c r="BO132" s="373"/>
      <c r="BP132" s="393"/>
      <c r="BQ132" s="354"/>
      <c r="BR132" s="354"/>
      <c r="BS132" s="354"/>
      <c r="BT132" s="354"/>
      <c r="BU132" s="354"/>
      <c r="BV132" s="354"/>
      <c r="BW132" s="354"/>
      <c r="BX132" s="354"/>
      <c r="BY132" s="354"/>
      <c r="BZ132" s="343" t="s">
        <v>100</v>
      </c>
      <c r="CA132" s="358" t="s">
        <v>101</v>
      </c>
      <c r="CB132" s="384"/>
      <c r="CC132" s="90"/>
      <c r="CD132" s="90"/>
      <c r="CE132" s="90"/>
      <c r="CF132" s="98"/>
    </row>
    <row r="133" spans="2:92" s="88" customFormat="1" ht="15" customHeight="1">
      <c r="B133" s="70"/>
      <c r="C133" s="313"/>
      <c r="D133" s="313" t="s">
        <v>85</v>
      </c>
      <c r="E133" s="313"/>
      <c r="F133" s="313"/>
      <c r="G133" s="319"/>
      <c r="H133" s="319">
        <f>H125+H128+H124</f>
        <v>58</v>
      </c>
      <c r="I133" s="319">
        <f>I125+I128+I124</f>
        <v>75</v>
      </c>
      <c r="J133" s="313"/>
      <c r="K133" s="313"/>
      <c r="L133" s="313"/>
      <c r="M133" s="319"/>
      <c r="N133" s="313"/>
      <c r="O133" s="313"/>
      <c r="P133" s="70"/>
      <c r="Q133" s="70"/>
      <c r="R133" s="70"/>
      <c r="S133" s="92"/>
      <c r="T133" s="70"/>
      <c r="U133" s="70"/>
      <c r="V133" s="70"/>
      <c r="W133" s="70"/>
      <c r="X133" s="70"/>
      <c r="Y133" s="70"/>
      <c r="Z133" s="70"/>
      <c r="AA133" s="70"/>
      <c r="AB133" s="70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25"/>
      <c r="BJ133" s="376"/>
      <c r="BK133" s="373"/>
      <c r="BL133" s="381">
        <f>IF(H37&lt;3,     0,        IF(BO149=1,         IF(BO150=1,    1,    2),             IF(BO150=1,    2,    4)))</f>
        <v>0</v>
      </c>
      <c r="BM133" s="381">
        <f>IF(BL133=0,     0,        IF(BL133=1,          BL133*(AZ31+AZ33),                  IF(BL133=2,             IF(BO150=1,         BD31+BD33,            BG31+BG33),             BL133*AZ79)))</f>
        <v>0</v>
      </c>
      <c r="BN133" s="381">
        <f>IF(BL133=0,     0,        IF(BL133=1,          BL133*AZ7,                  IF(BL133=2,             IF(BO150=1,         BD7,            BL133*AY79),             BL133*AY79)))</f>
        <v>0</v>
      </c>
      <c r="BO133" s="381">
        <f>BM133+BN133</f>
        <v>0</v>
      </c>
      <c r="BP133" s="407"/>
      <c r="BQ133" s="361" t="str">
        <f>IF($H$15="Imperial",       "Required Cubic Feet",       "Required Cubic Meters")</f>
        <v>Required Cubic Feet</v>
      </c>
      <c r="BR133" s="361" t="str">
        <f>IF($H$15="Imperial",       "Required Cubic Inches",       "Required Cubic mm")</f>
        <v>Required Cubic Inches</v>
      </c>
      <c r="BS133" s="361" t="str">
        <f>IF(BU2=1,       "Constraint Dimension (Width)",       "Constraint Dimension (Length)")</f>
        <v>Constraint Dimension (Length)</v>
      </c>
      <c r="BT133" s="361" t="str">
        <f>IF(BU2=1,       "(Constraint Width-2endR Width)/midR Width",       "(Constriant Length-2endC length)/midC length")</f>
        <v>(Constriant Length-2endC length)/midC length</v>
      </c>
      <c r="BU133" s="361"/>
      <c r="BV133" s="361" t="str">
        <f>IF(BU2=1,       "RoundDown for Maximum Number of midR",       "RoundDown for Maximum Number of midCs per Row")</f>
        <v>RoundDown for Maximum Number of midCs per Row</v>
      </c>
      <c r="BW133" s="361"/>
      <c r="BX133" s="361" t="str">
        <f>IF(BU2=1,       "Max suggested Number of Rows",      "Maximum Number of Chambers per Row")</f>
        <v>Maximum Number of Chambers per Row</v>
      </c>
      <c r="BY133" s="361"/>
      <c r="BZ133" s="343"/>
      <c r="CA133" s="358"/>
      <c r="CB133" s="384"/>
      <c r="CC133" s="90"/>
      <c r="CD133" s="90"/>
      <c r="CE133" s="90"/>
      <c r="CF133" s="98"/>
    </row>
    <row r="134" spans="2:92" s="88" customFormat="1">
      <c r="B134" s="70"/>
      <c r="C134" s="313"/>
      <c r="D134" s="313" t="s">
        <v>86</v>
      </c>
      <c r="E134" s="313"/>
      <c r="F134" s="313"/>
      <c r="G134" s="319"/>
      <c r="H134" s="319">
        <f>H124+H126+H129</f>
        <v>322</v>
      </c>
      <c r="I134" s="319">
        <f>I124+I126+I129</f>
        <v>284</v>
      </c>
      <c r="J134" s="313"/>
      <c r="K134" s="313"/>
      <c r="L134" s="313"/>
      <c r="M134" s="319"/>
      <c r="N134" s="313"/>
      <c r="O134" s="313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  <c r="BH134" s="313"/>
      <c r="BI134" s="325"/>
      <c r="BJ134" s="376"/>
      <c r="BK134" s="373" t="s">
        <v>30</v>
      </c>
      <c r="BL134" s="372" t="s">
        <v>32</v>
      </c>
      <c r="BM134" s="373" t="s">
        <v>26</v>
      </c>
      <c r="BN134" s="373" t="s">
        <v>27</v>
      </c>
      <c r="BO134" s="373" t="s">
        <v>28</v>
      </c>
      <c r="BP134" s="313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75">
        <f>IF(BU2=1,    IF(H15="Imperial",      IF(BX135=1,    (AZ77+H55-4.5)/12,   ((2*AZ77)+((BX135-2)*BA77))/12),          IF(BX135=1,        (AZ77+H55-115)/1000,      ((2*AZ77)+((BX135-2)*BA77))/1000)),                            IF(H15="Imperial",          IF(BU142=1,     (AZ77+H55-4.5)/12,      ((2*AZ77)+((BU142-2)*BA77))/12),             IF(BU142=1,        (AZ77+H55-115)/1000,      ((2*AZ77)+((BU142-2)*BA77))/1000)))</f>
        <v>7</v>
      </c>
      <c r="CA134" s="375">
        <f>IF(BU2=1,                 "N/A",                 IF(H15="Imperial",                  IF(BX135=1,                 (AZ5+H55+H55)/12,               ((2*AZ78)+((BX135-2)*BE78))/12),                                                                                                                              IF(BX135=1,            (AZ5+H55+H55)/1000,               ((2*AZ78)+((BX135-2)*BE78))/1000)))</f>
        <v>10.416666666666666</v>
      </c>
      <c r="CB134" s="384"/>
      <c r="CC134" s="90"/>
      <c r="CD134" s="90"/>
      <c r="CE134" s="90"/>
    </row>
    <row r="135" spans="2:92" s="88" customFormat="1" ht="15" customHeight="1">
      <c r="B135" s="70"/>
      <c r="C135" s="313"/>
      <c r="D135" s="313" t="s">
        <v>87</v>
      </c>
      <c r="E135" s="313"/>
      <c r="F135" s="313"/>
      <c r="G135" s="319"/>
      <c r="H135" s="319">
        <f>(H124*2)+H125+H128+(H131)</f>
        <v>104</v>
      </c>
      <c r="I135" s="319">
        <f>(I124*2)+I125+I128+(I131)</f>
        <v>131</v>
      </c>
      <c r="J135" s="313"/>
      <c r="K135" s="313"/>
      <c r="L135" s="313"/>
      <c r="M135" s="319"/>
      <c r="N135" s="313"/>
      <c r="O135" s="313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13"/>
      <c r="BE135" s="313"/>
      <c r="BF135" s="313"/>
      <c r="BG135" s="313"/>
      <c r="BH135" s="313"/>
      <c r="BI135" s="415"/>
      <c r="BJ135" s="415"/>
      <c r="BK135" s="373"/>
      <c r="BL135" s="372"/>
      <c r="BM135" s="373"/>
      <c r="BN135" s="373"/>
      <c r="BO135" s="373"/>
      <c r="BP135" s="313"/>
      <c r="BQ135" s="343">
        <f>IF($H$37=1,       0,                 IF($H$37=2,      0,              $H$17/3))</f>
        <v>0</v>
      </c>
      <c r="BR135" s="377">
        <f>IF($H$15="Imperial",         BQ135*1728,        BQ135*1000000000)</f>
        <v>0</v>
      </c>
      <c r="BS135" s="343">
        <f>IF(H37&lt;3,       0,         H25)</f>
        <v>0</v>
      </c>
      <c r="BT135" s="343">
        <f>IF($H$15="Imperial",                    IF(BU2=1,              ((BS135*12)-(2*AZ77))/BA77,                                    ((BS135*12)-(2*AZ78))/BE78),                                                                                                                                                                            IF(BU2=1,                                                                                                                     ((BS135*1000)-(2*AZ77))/BA77,                                ((BS135*1000)-(2*AZ78))/BE78))</f>
        <v>-2.3595505617977528</v>
      </c>
      <c r="BU135" s="343"/>
      <c r="BV135" s="343">
        <f>IF(BT135&lt;0,        0,         ROUNDDOWN(BT135,0))</f>
        <v>0</v>
      </c>
      <c r="BW135" s="343"/>
      <c r="BX135" s="343">
        <f>IF(BQ135&lt;=AZ35,     1,    IF(H15="Imperial",      IF(BU2=1,         IF(BS135&lt;(((2*AZ77)/12)),         1,     BV135+2),             IF(BS135&lt;(((2*AZ78)/12)),      1,    BV135+2)),                                                                                        IF(BU2=1,                                                                                                IF(BS135&lt;(((2*AZ77)/1000)),     1,     BV135+2),             IF(BS135&lt;(((2*AZ78)/1000)),       1,     BV135+2))))</f>
        <v>1</v>
      </c>
      <c r="BY135" s="343"/>
      <c r="BZ135" s="375"/>
      <c r="CA135" s="375"/>
      <c r="CB135" s="384"/>
      <c r="CC135" s="90"/>
      <c r="CD135" s="90"/>
      <c r="CE135" s="90"/>
    </row>
    <row r="136" spans="2:92" s="88" customFormat="1" ht="15" customHeight="1">
      <c r="B136" s="70"/>
      <c r="C136" s="321"/>
      <c r="D136" s="313" t="s">
        <v>86</v>
      </c>
      <c r="E136" s="313"/>
      <c r="F136" s="313"/>
      <c r="G136" s="319"/>
      <c r="H136" s="319">
        <f>(H124*2)+H126+H129+(H131)</f>
        <v>368</v>
      </c>
      <c r="I136" s="319">
        <f>(I124*2)+I126+I129+(I131)</f>
        <v>340</v>
      </c>
      <c r="J136" s="321"/>
      <c r="K136" s="321"/>
      <c r="L136" s="321"/>
      <c r="M136" s="319"/>
      <c r="N136" s="313"/>
      <c r="O136" s="313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  <c r="BH136" s="313"/>
      <c r="BI136" s="415"/>
      <c r="BJ136" s="415"/>
      <c r="BK136" s="373"/>
      <c r="BL136" s="372"/>
      <c r="BM136" s="373"/>
      <c r="BN136" s="373"/>
      <c r="BO136" s="373"/>
      <c r="BP136" s="313"/>
      <c r="BQ136" s="343"/>
      <c r="BR136" s="377"/>
      <c r="BS136" s="343"/>
      <c r="BT136" s="343"/>
      <c r="BU136" s="343"/>
      <c r="BV136" s="343"/>
      <c r="BW136" s="343"/>
      <c r="BX136" s="343"/>
      <c r="BY136" s="343"/>
      <c r="BZ136" s="431"/>
      <c r="CA136" s="431"/>
      <c r="CB136" s="384"/>
      <c r="CC136" s="90"/>
      <c r="CD136" s="90"/>
      <c r="CE136" s="90"/>
    </row>
    <row r="137" spans="2:92" s="88" customFormat="1" ht="15" customHeight="1">
      <c r="B137" s="70"/>
      <c r="C137" s="321"/>
      <c r="D137" s="313" t="s">
        <v>88</v>
      </c>
      <c r="E137" s="313"/>
      <c r="F137" s="313"/>
      <c r="G137" s="319"/>
      <c r="H137" s="319">
        <f>(H124*3)+H125+H128+(H131*2)</f>
        <v>150</v>
      </c>
      <c r="I137" s="319">
        <f>(I124*3)+I125+I128+(I131*2)</f>
        <v>187</v>
      </c>
      <c r="J137" s="321"/>
      <c r="K137" s="321"/>
      <c r="L137" s="321"/>
      <c r="M137" s="319"/>
      <c r="N137" s="313"/>
      <c r="O137" s="313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13"/>
      <c r="BE137" s="313"/>
      <c r="BF137" s="313"/>
      <c r="BG137" s="313"/>
      <c r="BH137" s="313"/>
      <c r="BI137" s="444"/>
      <c r="BJ137" s="444"/>
      <c r="BK137" s="373"/>
      <c r="BL137" s="386">
        <f>IF(H37&lt;3,       0,         IF(BT153=0,        0,         IF(BO149=1,        BT153,    2*BT153)))</f>
        <v>0</v>
      </c>
      <c r="BM137" s="417">
        <f>BL137*BE79</f>
        <v>0</v>
      </c>
      <c r="BN137" s="388">
        <f>BL137*BD79</f>
        <v>0</v>
      </c>
      <c r="BO137" s="381">
        <f>IF(BL137=0,           0,                 IF(H15="Imperial",               IF(BS156=1,                BM137+BN137+(BL137*((((H55-4.5)*AZ75*AZ78)/1728)*(H33/100))),                        BM137+BN137),                                                           IF(BS156=1,                                                                                                              BM137+BN137+(BL137*((((H55-115)*AZ75*AZ78)/1000000000)*(H33/100))),                   BM137+BN137)))</f>
        <v>0</v>
      </c>
      <c r="BP137" s="313"/>
      <c r="BQ137" s="358" t="s">
        <v>220</v>
      </c>
      <c r="BR137" s="358"/>
      <c r="BS137" s="358"/>
      <c r="BT137" s="358"/>
      <c r="BU137" s="358"/>
      <c r="BV137" s="358"/>
      <c r="BW137" s="358"/>
      <c r="BX137" s="358"/>
      <c r="BY137" s="358"/>
      <c r="BZ137" s="431"/>
      <c r="CA137" s="431"/>
      <c r="CB137" s="384"/>
      <c r="CC137" s="90"/>
      <c r="CD137" s="90"/>
      <c r="CE137" s="90"/>
    </row>
    <row r="138" spans="2:92" s="88" customFormat="1" ht="15" customHeight="1">
      <c r="B138" s="70"/>
      <c r="C138" s="321"/>
      <c r="D138" s="313" t="s">
        <v>86</v>
      </c>
      <c r="E138" s="313"/>
      <c r="F138" s="313"/>
      <c r="G138" s="319"/>
      <c r="H138" s="319">
        <f>(H124*3)+H126+H129+(H131*2)</f>
        <v>414</v>
      </c>
      <c r="I138" s="319">
        <f>(I124*3)+I126+I129+(I131*2)</f>
        <v>396</v>
      </c>
      <c r="J138" s="321"/>
      <c r="K138" s="321"/>
      <c r="L138" s="321"/>
      <c r="M138" s="319"/>
      <c r="N138" s="313"/>
      <c r="O138" s="313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92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  <c r="BH138" s="313"/>
      <c r="BI138" s="337"/>
      <c r="BJ138" s="376"/>
      <c r="BK138" s="373" t="s">
        <v>31</v>
      </c>
      <c r="BL138" s="372" t="s">
        <v>32</v>
      </c>
      <c r="BM138" s="373" t="s">
        <v>26</v>
      </c>
      <c r="BN138" s="373" t="s">
        <v>27</v>
      </c>
      <c r="BO138" s="373" t="s">
        <v>28</v>
      </c>
      <c r="BP138" s="313"/>
      <c r="BQ138" s="358"/>
      <c r="BR138" s="358"/>
      <c r="BS138" s="358"/>
      <c r="BT138" s="358"/>
      <c r="BU138" s="358"/>
      <c r="BV138" s="358"/>
      <c r="BW138" s="358"/>
      <c r="BX138" s="358"/>
      <c r="BY138" s="358"/>
      <c r="BZ138" s="431"/>
      <c r="CA138" s="431"/>
      <c r="CB138" s="384"/>
      <c r="CC138" s="90"/>
      <c r="CD138" s="90"/>
      <c r="CE138" s="90"/>
    </row>
    <row r="139" spans="2:92" s="88" customFormat="1" ht="15" customHeight="1">
      <c r="B139" s="70"/>
      <c r="C139" s="313"/>
      <c r="D139" s="319"/>
      <c r="E139" s="319"/>
      <c r="F139" s="319"/>
      <c r="G139" s="319"/>
      <c r="H139" s="319"/>
      <c r="I139" s="319"/>
      <c r="J139" s="313"/>
      <c r="K139" s="313"/>
      <c r="L139" s="313"/>
      <c r="M139" s="319"/>
      <c r="N139" s="313"/>
      <c r="O139" s="313"/>
      <c r="P139" s="70"/>
      <c r="Q139" s="70"/>
      <c r="R139" s="70"/>
      <c r="AB139" s="70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  <c r="BH139" s="313"/>
      <c r="BI139" s="391"/>
      <c r="BJ139" s="376"/>
      <c r="BK139" s="373"/>
      <c r="BL139" s="372"/>
      <c r="BM139" s="373"/>
      <c r="BN139" s="373"/>
      <c r="BO139" s="373"/>
      <c r="BP139" s="313"/>
      <c r="BQ139" s="361" t="str">
        <f>IF(BU2=1,    "",      "number of endCs per fullR*endRendCvolumes")</f>
        <v>number of endCs per fullR*endRendCvolumes</v>
      </c>
      <c r="BR139" s="361" t="str">
        <f>IF(BU2=1,       "",      "Max number of midC per fullR*endRmidC Volume")</f>
        <v>Max number of midC per fullR*endRmidC Volume</v>
      </c>
      <c r="BS139" s="361"/>
      <c r="BT139" s="361" t="str">
        <f>IF(BU2=1,     "",      "Number of End Rows")</f>
        <v>Number of End Rows</v>
      </c>
      <c r="BU139" s="361" t="str">
        <f>IF(BU2=1,        "",     "min number of rows suggested")</f>
        <v>min number of rows suggested</v>
      </c>
      <c r="BV139" s="361"/>
      <c r="BW139" s="358" t="s">
        <v>124</v>
      </c>
      <c r="BX139" s="358"/>
      <c r="BY139" s="358"/>
      <c r="BZ139" s="431"/>
      <c r="CA139" s="431"/>
      <c r="CB139" s="384"/>
      <c r="CC139" s="90"/>
      <c r="CD139" s="90"/>
      <c r="CE139" s="90"/>
    </row>
    <row r="140" spans="2:92" s="88" customFormat="1" ht="15" customHeight="1">
      <c r="B140" s="70"/>
      <c r="C140" s="313"/>
      <c r="D140" s="313"/>
      <c r="E140" s="313"/>
      <c r="F140" s="313"/>
      <c r="G140" s="313"/>
      <c r="H140" s="317">
        <v>864</v>
      </c>
      <c r="I140" s="317">
        <v>1117</v>
      </c>
      <c r="J140" s="313"/>
      <c r="K140" s="313"/>
      <c r="L140" s="313"/>
      <c r="M140" s="319"/>
      <c r="N140" s="313"/>
      <c r="O140" s="313"/>
      <c r="P140" s="70"/>
      <c r="Q140" s="70"/>
      <c r="R140" s="70"/>
      <c r="AB140" s="70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13"/>
      <c r="BE140" s="313"/>
      <c r="BF140" s="313"/>
      <c r="BG140" s="313"/>
      <c r="BH140" s="313"/>
      <c r="BI140" s="391"/>
      <c r="BJ140" s="376"/>
      <c r="BK140" s="373"/>
      <c r="BL140" s="372"/>
      <c r="BM140" s="373"/>
      <c r="BN140" s="373"/>
      <c r="BO140" s="373"/>
      <c r="BP140" s="313"/>
      <c r="BQ140" s="361"/>
      <c r="BR140" s="361"/>
      <c r="BS140" s="361"/>
      <c r="BT140" s="361"/>
      <c r="BU140" s="361"/>
      <c r="BV140" s="361"/>
      <c r="BW140" s="358"/>
      <c r="BX140" s="358"/>
      <c r="BY140" s="358"/>
      <c r="BZ140" s="431"/>
      <c r="CA140" s="431"/>
      <c r="CB140" s="384"/>
      <c r="CC140" s="90"/>
      <c r="CD140" s="90"/>
      <c r="CE140" s="90"/>
    </row>
    <row r="141" spans="2:92" s="88" customFormat="1" ht="15" customHeight="1">
      <c r="B141" s="95"/>
      <c r="C141" s="320"/>
      <c r="D141" s="313" t="s">
        <v>79</v>
      </c>
      <c r="E141" s="313"/>
      <c r="F141" s="313"/>
      <c r="G141" s="313"/>
      <c r="H141" s="313">
        <v>150</v>
      </c>
      <c r="I141" s="313">
        <v>225</v>
      </c>
      <c r="J141" s="320"/>
      <c r="K141" s="320"/>
      <c r="L141" s="320"/>
      <c r="M141" s="319"/>
      <c r="N141" s="313"/>
      <c r="O141" s="313"/>
      <c r="P141" s="70"/>
      <c r="Q141" s="70"/>
      <c r="R141" s="70"/>
      <c r="AU141" s="313"/>
      <c r="AV141" s="313"/>
      <c r="AW141" s="313"/>
      <c r="AX141" s="415"/>
      <c r="AY141" s="415"/>
      <c r="AZ141" s="415"/>
      <c r="BA141" s="415"/>
      <c r="BB141" s="415"/>
      <c r="BC141" s="313"/>
      <c r="BD141" s="313"/>
      <c r="BE141" s="313"/>
      <c r="BF141" s="313"/>
      <c r="BG141" s="313"/>
      <c r="BH141" s="313"/>
      <c r="BI141" s="391"/>
      <c r="BJ141" s="376"/>
      <c r="BK141" s="373"/>
      <c r="BL141" s="386">
        <f>IF(H37&lt;3,     0,            IF(BT148=0,     0,             IF(BS157=1,                  BT148,          2*BT148)))</f>
        <v>0</v>
      </c>
      <c r="BM141" s="417">
        <f>IF(BL141=0,       0,             IF(BO150=1,          BL141*(AZ31+AZ33),            BL141*BA79))</f>
        <v>0</v>
      </c>
      <c r="BN141" s="388">
        <f>IF(BL141=0,     0,          IF(BO150=1,           BL141*AZ7,          BL141*AY79))</f>
        <v>0</v>
      </c>
      <c r="BO141" s="381">
        <f>BM141+BN141</f>
        <v>0</v>
      </c>
      <c r="BP141" s="313"/>
      <c r="BQ141" s="361"/>
      <c r="BR141" s="361"/>
      <c r="BS141" s="361"/>
      <c r="BT141" s="361"/>
      <c r="BU141" s="361"/>
      <c r="BV141" s="361"/>
      <c r="BW141" s="358"/>
      <c r="BX141" s="358"/>
      <c r="BY141" s="358"/>
      <c r="BZ141" s="431"/>
      <c r="CA141" s="431"/>
      <c r="CB141" s="384"/>
      <c r="CC141" s="90"/>
      <c r="CD141" s="90"/>
      <c r="CE141" s="90"/>
    </row>
    <row r="142" spans="2:92" s="88" customFormat="1" ht="15" customHeight="1">
      <c r="C142" s="319"/>
      <c r="D142" s="313" t="s">
        <v>80</v>
      </c>
      <c r="E142" s="313"/>
      <c r="F142" s="313"/>
      <c r="G142" s="313"/>
      <c r="H142" s="313">
        <v>2400</v>
      </c>
      <c r="I142" s="313">
        <v>2400</v>
      </c>
      <c r="J142" s="319"/>
      <c r="K142" s="319"/>
      <c r="L142" s="319"/>
      <c r="M142" s="319"/>
      <c r="N142" s="313"/>
      <c r="O142" s="313"/>
      <c r="P142" s="95"/>
      <c r="Q142" s="95"/>
      <c r="R142" s="95"/>
      <c r="AU142" s="313"/>
      <c r="AV142" s="313"/>
      <c r="AW142" s="415"/>
      <c r="AX142" s="415"/>
      <c r="AY142" s="415"/>
      <c r="AZ142" s="415"/>
      <c r="BA142" s="415"/>
      <c r="BB142" s="415"/>
      <c r="BC142" s="415"/>
      <c r="BD142" s="415"/>
      <c r="BE142" s="415"/>
      <c r="BF142" s="313"/>
      <c r="BG142" s="313"/>
      <c r="BH142" s="313"/>
      <c r="BI142" s="391"/>
      <c r="BJ142" s="376"/>
      <c r="BK142" s="373" t="s">
        <v>56</v>
      </c>
      <c r="BL142" s="372" t="s">
        <v>32</v>
      </c>
      <c r="BM142" s="373" t="s">
        <v>26</v>
      </c>
      <c r="BN142" s="373" t="s">
        <v>27</v>
      </c>
      <c r="BO142" s="373" t="s">
        <v>28</v>
      </c>
      <c r="BP142" s="313"/>
      <c r="BQ142" s="343">
        <f>IF(BU2=1,         0,             IF(H15="Imperial",                     IF(BX135=1,            (AZ7+AZ31)+(((H55*AZ75*(AZ77))/1728)*(H33/100)),               2*BB79),                                                                                                                                                                                                                                          IF(BX135=1,                                         (AZ7+AZ31)+(((H55*AZ75*(AZ77))/1000000000)*(H33/100)),            2*BB79)))</f>
        <v>49.943999999999996</v>
      </c>
      <c r="BR142" s="343">
        <f>IF(BU2=1,     0,      IF(BV135=0,       0,      BV135))</f>
        <v>0</v>
      </c>
      <c r="BS142" s="343"/>
      <c r="BT142" s="343">
        <f>IF(BU2=1,          0,        IF(BX135=1,                  IF(BQ135&lt;=AZ35,     1,              2),                    IF(BX135=2,                  IF(BQ135&lt;=BG35,         1,              2),                                                                                                                                 IF(H15="Imperial",          IF(BQ135&lt;=((2*(BB79+(((AZ75*(H55-4.5)*(AZ77+H55))/1728)*(H33/100))+(BV135*(BG79+(((BE75*(H55-4.5)*BE78)/1728)*(H33/100))))))),          1,             2),                                                                                                                               IF(BQ135&lt;=((2*(BB79+(((AZ75*(H55-115)*(AZ77+H55))/1000000000)*(H33/100))+(BV135*(BG79+(((BE75*(H55-115)*BE78)/1000000000)*(H33/100))))))),             1,             2)))))</f>
        <v>1</v>
      </c>
      <c r="BU142" s="343">
        <f>IF(BU2=1,                0,            IF(BQ135&lt;=(2*(BQ142+BR142)),                   BT142,               IF(BX135=1,              (ROUNDUP((BQ135-(2*(BQ142+BR142)))/(BH41),0))+2,                                                                                       IF(BX135=2,                    (ROUNDUP((BQ135-(2*(BQ142+BR142)))/(2*BC79),0)+2),            (ROUNDUP((BQ135-(2*(BQ142+BR142)))/((BV135*BH79)+(2*BC79)),0)+2)))))</f>
        <v>1</v>
      </c>
      <c r="BV142" s="343"/>
      <c r="BW142" s="358"/>
      <c r="BX142" s="358"/>
      <c r="BY142" s="358"/>
      <c r="BZ142" s="431"/>
      <c r="CA142" s="431"/>
      <c r="CB142" s="384"/>
      <c r="CC142" s="90"/>
      <c r="CD142" s="90"/>
      <c r="CE142" s="90"/>
    </row>
    <row r="143" spans="2:92" s="88" customFormat="1" ht="14.25" customHeight="1">
      <c r="C143" s="319"/>
      <c r="D143" s="313"/>
      <c r="E143" s="313"/>
      <c r="F143" s="313"/>
      <c r="G143" s="313"/>
      <c r="H143" s="313"/>
      <c r="I143" s="313"/>
      <c r="J143" s="319"/>
      <c r="K143" s="319"/>
      <c r="L143" s="319"/>
      <c r="M143" s="319"/>
      <c r="N143" s="313"/>
      <c r="O143" s="313"/>
      <c r="AU143" s="313"/>
      <c r="AV143" s="313"/>
      <c r="AW143" s="415"/>
      <c r="AX143" s="444"/>
      <c r="AY143" s="444"/>
      <c r="AZ143" s="444"/>
      <c r="BA143" s="444"/>
      <c r="BB143" s="444"/>
      <c r="BC143" s="415"/>
      <c r="BD143" s="415"/>
      <c r="BE143" s="415"/>
      <c r="BF143" s="415"/>
      <c r="BG143" s="415"/>
      <c r="BH143" s="415"/>
      <c r="BI143" s="391"/>
      <c r="BJ143" s="376"/>
      <c r="BK143" s="373"/>
      <c r="BL143" s="372"/>
      <c r="BM143" s="373"/>
      <c r="BN143" s="373"/>
      <c r="BO143" s="373"/>
      <c r="BP143" s="313"/>
      <c r="BQ143" s="343"/>
      <c r="BR143" s="343"/>
      <c r="BS143" s="343"/>
      <c r="BT143" s="343"/>
      <c r="BU143" s="343"/>
      <c r="BV143" s="343"/>
      <c r="BW143" s="358"/>
      <c r="BX143" s="358"/>
      <c r="BY143" s="358"/>
      <c r="BZ143" s="431"/>
      <c r="CA143" s="431"/>
      <c r="CB143" s="384"/>
      <c r="CC143" s="90"/>
      <c r="CD143" s="90"/>
      <c r="CE143" s="90"/>
    </row>
    <row r="144" spans="2:92" s="88" customFormat="1" ht="15" customHeight="1">
      <c r="C144" s="319"/>
      <c r="D144" s="313" t="s">
        <v>81</v>
      </c>
      <c r="E144" s="313"/>
      <c r="F144" s="313"/>
      <c r="G144" s="313"/>
      <c r="H144" s="313">
        <v>450</v>
      </c>
      <c r="I144" s="313">
        <v>550</v>
      </c>
      <c r="J144" s="319"/>
      <c r="K144" s="319"/>
      <c r="L144" s="319"/>
      <c r="M144" s="319"/>
      <c r="N144" s="313"/>
      <c r="O144" s="313"/>
      <c r="AU144" s="313"/>
      <c r="AV144" s="313"/>
      <c r="AW144" s="444"/>
      <c r="AX144" s="448"/>
      <c r="AY144" s="448"/>
      <c r="AZ144" s="448"/>
      <c r="BA144" s="448"/>
      <c r="BB144" s="337"/>
      <c r="BC144" s="444"/>
      <c r="BD144" s="444"/>
      <c r="BE144" s="444"/>
      <c r="BF144" s="415"/>
      <c r="BG144" s="415"/>
      <c r="BH144" s="415"/>
      <c r="BI144" s="391"/>
      <c r="BJ144" s="376"/>
      <c r="BK144" s="373"/>
      <c r="BL144" s="372"/>
      <c r="BM144" s="373"/>
      <c r="BN144" s="373"/>
      <c r="BO144" s="373"/>
      <c r="BP144" s="313"/>
      <c r="BQ144" s="343" t="s">
        <v>221</v>
      </c>
      <c r="BR144" s="343"/>
      <c r="BS144" s="343"/>
      <c r="BT144" s="343"/>
      <c r="BU144" s="343"/>
      <c r="BV144" s="343"/>
      <c r="BW144" s="343"/>
      <c r="BX144" s="343"/>
      <c r="BY144" s="343"/>
      <c r="BZ144" s="431"/>
      <c r="CA144" s="431"/>
      <c r="CB144" s="384"/>
      <c r="CC144" s="90"/>
      <c r="CD144" s="90"/>
      <c r="CE144" s="90"/>
      <c r="CF144" s="91"/>
      <c r="CG144" s="91"/>
      <c r="CH144" s="91"/>
      <c r="CI144" s="91"/>
      <c r="CJ144" s="91"/>
      <c r="CK144" s="91"/>
      <c r="CL144" s="91"/>
      <c r="CM144" s="91"/>
      <c r="CN144" s="91"/>
    </row>
    <row r="145" spans="3:94" s="88" customFormat="1" ht="15" customHeight="1">
      <c r="C145" s="319"/>
      <c r="D145" s="313" t="s">
        <v>82</v>
      </c>
      <c r="E145" s="313"/>
      <c r="F145" s="313"/>
      <c r="G145" s="321"/>
      <c r="H145" s="322">
        <v>4850</v>
      </c>
      <c r="I145" s="322">
        <v>2400</v>
      </c>
      <c r="J145" s="319"/>
      <c r="K145" s="319"/>
      <c r="L145" s="319"/>
      <c r="M145" s="319"/>
      <c r="N145" s="313"/>
      <c r="O145" s="313"/>
      <c r="AU145" s="313"/>
      <c r="AV145" s="313"/>
      <c r="AW145" s="448"/>
      <c r="AX145" s="448"/>
      <c r="AY145" s="448"/>
      <c r="AZ145" s="448"/>
      <c r="BA145" s="448"/>
      <c r="BB145" s="337"/>
      <c r="BC145" s="337"/>
      <c r="BD145" s="337"/>
      <c r="BE145" s="337"/>
      <c r="BF145" s="444"/>
      <c r="BG145" s="444"/>
      <c r="BH145" s="444"/>
      <c r="BI145" s="337"/>
      <c r="BJ145" s="376"/>
      <c r="BK145" s="373"/>
      <c r="BL145" s="387">
        <f>IF(H37&lt;3,       0,         IF(BT148=0,         0,          IF(BT153=0,          0,          BT148*BT153)))</f>
        <v>0</v>
      </c>
      <c r="BM145" s="388">
        <f>BL145*BF79</f>
        <v>0</v>
      </c>
      <c r="BN145" s="388">
        <f>BL145*BD79</f>
        <v>0</v>
      </c>
      <c r="BO145" s="381">
        <f>BM145+BN145</f>
        <v>0</v>
      </c>
      <c r="BP145" s="313"/>
      <c r="BQ145" s="390" t="s">
        <v>110</v>
      </c>
      <c r="BR145" s="390" t="s">
        <v>183</v>
      </c>
      <c r="BS145" s="390" t="s">
        <v>111</v>
      </c>
      <c r="BT145" s="382" t="s">
        <v>112</v>
      </c>
      <c r="BU145" s="382" t="s">
        <v>113</v>
      </c>
      <c r="BV145" s="382"/>
      <c r="BW145" s="382" t="s">
        <v>114</v>
      </c>
      <c r="BX145" s="343"/>
      <c r="BY145" s="390" t="s">
        <v>106</v>
      </c>
      <c r="BZ145" s="390"/>
      <c r="CA145" s="390"/>
      <c r="CB145" s="384"/>
      <c r="CC145" s="90"/>
      <c r="CD145" s="90"/>
      <c r="CE145" s="90"/>
      <c r="CF145" s="91"/>
      <c r="CG145" s="91"/>
      <c r="CH145" s="91"/>
      <c r="CI145" s="91"/>
      <c r="CJ145" s="91"/>
      <c r="CK145" s="91"/>
      <c r="CL145" s="91"/>
      <c r="CM145" s="91"/>
      <c r="CN145" s="91"/>
    </row>
    <row r="146" spans="3:94" s="88" customFormat="1" ht="15" customHeight="1">
      <c r="C146" s="319"/>
      <c r="D146" s="320"/>
      <c r="E146" s="320"/>
      <c r="F146" s="320"/>
      <c r="G146" s="320"/>
      <c r="H146" s="320"/>
      <c r="I146" s="320"/>
      <c r="J146" s="319"/>
      <c r="K146" s="319"/>
      <c r="L146" s="319"/>
      <c r="M146" s="319"/>
      <c r="N146" s="313"/>
      <c r="O146" s="313"/>
      <c r="AU146" s="313"/>
      <c r="AV146" s="313"/>
      <c r="AW146" s="448"/>
      <c r="AX146" s="325"/>
      <c r="AY146" s="449"/>
      <c r="AZ146" s="449"/>
      <c r="BA146" s="325"/>
      <c r="BB146" s="326"/>
      <c r="BC146" s="337"/>
      <c r="BD146" s="337"/>
      <c r="BE146" s="337"/>
      <c r="BF146" s="337"/>
      <c r="BG146" s="337"/>
      <c r="BH146" s="337"/>
      <c r="BI146" s="337"/>
      <c r="BJ146" s="376"/>
      <c r="BK146" s="416" t="s">
        <v>196</v>
      </c>
      <c r="BL146" s="450">
        <f>BL133+BL137+BL141+BL145</f>
        <v>0</v>
      </c>
      <c r="BM146" s="450">
        <f t="shared" ref="BM146:BO146" si="4">BM133+BM137+BM141+BM145</f>
        <v>0</v>
      </c>
      <c r="BN146" s="450">
        <f t="shared" si="4"/>
        <v>0</v>
      </c>
      <c r="BO146" s="450">
        <f t="shared" si="4"/>
        <v>0</v>
      </c>
      <c r="BP146" s="313"/>
      <c r="BQ146" s="390"/>
      <c r="BR146" s="390"/>
      <c r="BS146" s="390"/>
      <c r="BT146" s="382"/>
      <c r="BU146" s="382"/>
      <c r="BV146" s="382"/>
      <c r="BW146" s="382"/>
      <c r="BX146" s="343"/>
      <c r="BY146" s="390"/>
      <c r="BZ146" s="390"/>
      <c r="CA146" s="390"/>
      <c r="CB146" s="384"/>
      <c r="CC146" s="90"/>
      <c r="CD146" s="90"/>
      <c r="CE146" s="90"/>
      <c r="CF146" s="91"/>
      <c r="CG146" s="91"/>
      <c r="CH146" s="91"/>
      <c r="CI146" s="91"/>
      <c r="CJ146" s="91"/>
      <c r="CK146" s="91"/>
      <c r="CL146" s="91"/>
      <c r="CM146" s="91"/>
      <c r="CN146" s="91"/>
    </row>
    <row r="147" spans="3:94" s="88" customFormat="1" ht="25.5" customHeight="1">
      <c r="C147" s="319"/>
      <c r="D147" s="313" t="s">
        <v>84</v>
      </c>
      <c r="E147" s="313"/>
      <c r="F147" s="313"/>
      <c r="G147" s="319"/>
      <c r="H147" s="313">
        <v>300</v>
      </c>
      <c r="I147" s="313">
        <v>300</v>
      </c>
      <c r="J147" s="319"/>
      <c r="K147" s="319"/>
      <c r="L147" s="319"/>
      <c r="M147" s="319"/>
      <c r="N147" s="313"/>
      <c r="O147" s="313"/>
      <c r="AU147" s="313"/>
      <c r="AV147" s="313"/>
      <c r="AW147" s="325"/>
      <c r="AX147" s="325"/>
      <c r="AY147" s="449"/>
      <c r="AZ147" s="449"/>
      <c r="BA147" s="325"/>
      <c r="BB147" s="326"/>
      <c r="BC147" s="391"/>
      <c r="BD147" s="391"/>
      <c r="BE147" s="391"/>
      <c r="BF147" s="337"/>
      <c r="BG147" s="337"/>
      <c r="BH147" s="337"/>
      <c r="BI147" s="337"/>
      <c r="BJ147" s="376"/>
      <c r="BK147" s="394"/>
      <c r="BL147" s="387"/>
      <c r="BM147" s="388"/>
      <c r="BN147" s="388"/>
      <c r="BO147" s="381"/>
      <c r="BP147" s="313"/>
      <c r="BQ147" s="390"/>
      <c r="BR147" s="390"/>
      <c r="BS147" s="390"/>
      <c r="BT147" s="382"/>
      <c r="BU147" s="382"/>
      <c r="BV147" s="382"/>
      <c r="BW147" s="382"/>
      <c r="BX147" s="343"/>
      <c r="BY147" s="390" t="str">
        <f>IF(BU2=1,      "Maximum Number of Rows",                 "Minimum Number of Rows")</f>
        <v>Minimum Number of Rows</v>
      </c>
      <c r="BZ147" s="390"/>
      <c r="CA147" s="382" t="str">
        <f>IF(BU2=1,             "N/A",                "Maximum Number of Chambers per Full Row")</f>
        <v>Maximum Number of Chambers per Full Row</v>
      </c>
      <c r="CB147" s="415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90"/>
      <c r="CN147" s="90"/>
      <c r="CO147" s="90"/>
      <c r="CP147" s="90"/>
    </row>
    <row r="148" spans="3:94" s="88" customFormat="1" ht="15.75" customHeight="1"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3"/>
      <c r="O148" s="313"/>
      <c r="AU148" s="313"/>
      <c r="AV148" s="313"/>
      <c r="AW148" s="325"/>
      <c r="AX148" s="337"/>
      <c r="AY148" s="337"/>
      <c r="AZ148" s="337"/>
      <c r="BA148" s="337"/>
      <c r="BB148" s="337"/>
      <c r="BC148" s="391"/>
      <c r="BD148" s="391"/>
      <c r="BE148" s="391"/>
      <c r="BF148" s="391"/>
      <c r="BG148" s="391"/>
      <c r="BH148" s="391"/>
      <c r="BI148" s="337"/>
      <c r="BJ148" s="376"/>
      <c r="BK148" s="396" t="str">
        <f>IF($H$23=1,"Max suggested number of rows","Min suggested number of rows")</f>
        <v>Min suggested number of rows</v>
      </c>
      <c r="BL148" s="396"/>
      <c r="BM148" s="396"/>
      <c r="BN148" s="396"/>
      <c r="BO148" s="388">
        <f>IF(H37&lt;3,    0,       IF(BU2=1,        BX135,           BU142))</f>
        <v>0</v>
      </c>
      <c r="BP148" s="313"/>
      <c r="BQ148" s="343">
        <f>BQ135</f>
        <v>0</v>
      </c>
      <c r="BR148" s="343">
        <f>BO149</f>
        <v>0</v>
      </c>
      <c r="BS148" s="343">
        <f>IF(BR148=1,       1,        2)</f>
        <v>2</v>
      </c>
      <c r="BT148" s="358">
        <f>IF(BR148&lt;3,      0,        BR148-2)</f>
        <v>0</v>
      </c>
      <c r="BU148" s="358">
        <f>IF(BR148=1,     IF(BQ148&lt;=AZ35,       AZ35,       IF(H15="Imperial",       BB79+((((H55-4.5)*AZ75*(AZ78+H55))/1728)*(H33/100)),          BB79+((((H55-115)*AZ75*(AZ78+H55))/1000000000)*(H33/100)))),              IF(BQ148&lt;=BD35,                BD35,                        2*BB79))</f>
        <v>99.887999999999991</v>
      </c>
      <c r="BV148" s="358"/>
      <c r="BW148" s="358">
        <f>IF(BT148=0,           0,           BT148*BC79)</f>
        <v>0</v>
      </c>
      <c r="BX148" s="343"/>
      <c r="BY148" s="390"/>
      <c r="BZ148" s="390"/>
      <c r="CA148" s="382"/>
      <c r="CB148" s="415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90"/>
      <c r="CN148" s="90"/>
      <c r="CO148" s="90"/>
      <c r="CP148" s="90"/>
    </row>
    <row r="149" spans="3:94" s="88" customFormat="1" ht="15" customHeight="1">
      <c r="C149" s="319"/>
      <c r="D149" s="313" t="s">
        <v>85</v>
      </c>
      <c r="E149" s="313"/>
      <c r="F149" s="313"/>
      <c r="G149" s="319"/>
      <c r="H149" s="319">
        <f>H141+H144+H140</f>
        <v>1464</v>
      </c>
      <c r="I149" s="319">
        <f>I141+I144+I140</f>
        <v>1892</v>
      </c>
      <c r="J149" s="319"/>
      <c r="K149" s="319"/>
      <c r="L149" s="319"/>
      <c r="M149" s="319"/>
      <c r="N149" s="313"/>
      <c r="O149" s="313"/>
      <c r="AU149" s="313"/>
      <c r="AV149" s="313"/>
      <c r="AW149" s="337"/>
      <c r="AX149" s="337"/>
      <c r="AY149" s="337"/>
      <c r="AZ149" s="337"/>
      <c r="BA149" s="337"/>
      <c r="BB149" s="337"/>
      <c r="BC149" s="337"/>
      <c r="BD149" s="337"/>
      <c r="BE149" s="337"/>
      <c r="BF149" s="391"/>
      <c r="BG149" s="391"/>
      <c r="BH149" s="391"/>
      <c r="BI149" s="367"/>
      <c r="BJ149" s="376"/>
      <c r="BK149" s="438" t="s">
        <v>45</v>
      </c>
      <c r="BL149" s="438"/>
      <c r="BM149" s="438"/>
      <c r="BN149" s="438"/>
      <c r="BO149" s="388">
        <f>IF(H37&lt;3,        0,          H41)</f>
        <v>0</v>
      </c>
      <c r="BP149" s="313"/>
      <c r="BQ149" s="343"/>
      <c r="BR149" s="343"/>
      <c r="BS149" s="343"/>
      <c r="BT149" s="358"/>
      <c r="BU149" s="358"/>
      <c r="BV149" s="358"/>
      <c r="BW149" s="358"/>
      <c r="BX149" s="343"/>
      <c r="BY149" s="343">
        <f>IF(BU2=1,            BX135,        BU142)</f>
        <v>1</v>
      </c>
      <c r="BZ149" s="343"/>
      <c r="CA149" s="378">
        <f>IF(BU2=1,         0,                             BX135)</f>
        <v>1</v>
      </c>
      <c r="CB149" s="444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211"/>
      <c r="CN149" s="90"/>
      <c r="CO149" s="90"/>
      <c r="CP149" s="90"/>
    </row>
    <row r="150" spans="3:94" s="88" customFormat="1" ht="15" customHeight="1">
      <c r="C150" s="319"/>
      <c r="D150" s="313" t="s">
        <v>86</v>
      </c>
      <c r="E150" s="313"/>
      <c r="F150" s="313"/>
      <c r="G150" s="319"/>
      <c r="H150" s="319">
        <f>H140+H142+H145</f>
        <v>8114</v>
      </c>
      <c r="I150" s="319">
        <f>I140+I142+I145</f>
        <v>5917</v>
      </c>
      <c r="J150" s="319"/>
      <c r="K150" s="319"/>
      <c r="L150" s="319"/>
      <c r="M150" s="319"/>
      <c r="N150" s="313"/>
      <c r="O150" s="313"/>
      <c r="AU150" s="313"/>
      <c r="AV150" s="313"/>
      <c r="AW150" s="337"/>
      <c r="AX150" s="325"/>
      <c r="AY150" s="325"/>
      <c r="AZ150" s="325"/>
      <c r="BA150" s="325"/>
      <c r="BB150" s="325"/>
      <c r="BC150" s="337"/>
      <c r="BD150" s="337"/>
      <c r="BE150" s="337"/>
      <c r="BF150" s="337"/>
      <c r="BG150" s="391"/>
      <c r="BH150" s="391"/>
      <c r="BI150" s="367"/>
      <c r="BJ150" s="376"/>
      <c r="BK150" s="438" t="str">
        <f>IF($H$23=1,"Min number of chambers per full Row","Max number of chambers per Row")</f>
        <v>Max number of chambers per Row</v>
      </c>
      <c r="BL150" s="438"/>
      <c r="BM150" s="438"/>
      <c r="BN150" s="438"/>
      <c r="BO150" s="388">
        <f>IF(H37&lt;3,         0,          BV153)</f>
        <v>0</v>
      </c>
      <c r="BP150" s="313"/>
      <c r="BQ150" s="358" t="s">
        <v>125</v>
      </c>
      <c r="BR150" s="358"/>
      <c r="BS150" s="382" t="s">
        <v>115</v>
      </c>
      <c r="BT150" s="382" t="s">
        <v>116</v>
      </c>
      <c r="BU150" s="382"/>
      <c r="BV150" s="390" t="s">
        <v>117</v>
      </c>
      <c r="BW150" s="390"/>
      <c r="BX150" s="343"/>
      <c r="BY150" s="343"/>
      <c r="BZ150" s="343"/>
      <c r="CA150" s="378"/>
      <c r="CB150" s="367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211"/>
      <c r="CN150" s="90"/>
      <c r="CO150" s="90"/>
      <c r="CP150" s="90"/>
    </row>
    <row r="151" spans="3:94" s="88" customFormat="1">
      <c r="C151" s="319"/>
      <c r="D151" s="313" t="s">
        <v>87</v>
      </c>
      <c r="E151" s="313"/>
      <c r="F151" s="313"/>
      <c r="G151" s="319"/>
      <c r="H151" s="319">
        <f>(H140*2)+H141+H144+(H147)</f>
        <v>2628</v>
      </c>
      <c r="I151" s="319">
        <f>(I140*2)+I141+I144+(I147)</f>
        <v>3309</v>
      </c>
      <c r="J151" s="319"/>
      <c r="K151" s="319"/>
      <c r="L151" s="319"/>
      <c r="M151" s="319"/>
      <c r="N151" s="313"/>
      <c r="O151" s="313"/>
      <c r="AU151" s="313"/>
      <c r="AV151" s="313"/>
      <c r="AW151" s="325"/>
      <c r="AX151" s="325"/>
      <c r="AY151" s="325"/>
      <c r="AZ151" s="325"/>
      <c r="BA151" s="325"/>
      <c r="BB151" s="325"/>
      <c r="BC151" s="325"/>
      <c r="BD151" s="325"/>
      <c r="BE151" s="325"/>
      <c r="BF151" s="337"/>
      <c r="BG151" s="391"/>
      <c r="BH151" s="391"/>
      <c r="BI151" s="367"/>
      <c r="BJ151" s="376"/>
      <c r="BK151" s="438" t="s">
        <v>42</v>
      </c>
      <c r="BL151" s="438"/>
      <c r="BM151" s="438"/>
      <c r="BN151" s="438"/>
      <c r="BO151" s="388">
        <f>IF(H37&lt;3,0,"all")</f>
        <v>0</v>
      </c>
      <c r="BP151" s="313"/>
      <c r="BQ151" s="358"/>
      <c r="BR151" s="358"/>
      <c r="BS151" s="382"/>
      <c r="BT151" s="382"/>
      <c r="BU151" s="382"/>
      <c r="BV151" s="390"/>
      <c r="BW151" s="390"/>
      <c r="BX151" s="343"/>
      <c r="BY151" s="390" t="s">
        <v>107</v>
      </c>
      <c r="BZ151" s="390"/>
      <c r="CA151" s="390"/>
      <c r="CB151" s="367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7"/>
      <c r="CN151" s="90"/>
      <c r="CO151" s="90"/>
      <c r="CP151" s="90"/>
    </row>
    <row r="152" spans="3:94" s="88" customFormat="1" ht="15.75">
      <c r="C152" s="319"/>
      <c r="D152" s="313" t="s">
        <v>86</v>
      </c>
      <c r="E152" s="313"/>
      <c r="F152" s="313"/>
      <c r="G152" s="319"/>
      <c r="H152" s="319">
        <f>(H140*2)+H142+H145+(H147)</f>
        <v>9278</v>
      </c>
      <c r="I152" s="319">
        <f>(I140*2)+I142+I145+(I147)</f>
        <v>7334</v>
      </c>
      <c r="J152" s="319"/>
      <c r="K152" s="319"/>
      <c r="L152" s="319"/>
      <c r="M152" s="319"/>
      <c r="N152" s="313"/>
      <c r="O152" s="313"/>
      <c r="AU152" s="313"/>
      <c r="AV152" s="313"/>
      <c r="AW152" s="325"/>
      <c r="AX152" s="337"/>
      <c r="AY152" s="337"/>
      <c r="AZ152" s="337"/>
      <c r="BA152" s="337"/>
      <c r="BB152" s="337"/>
      <c r="BC152" s="325"/>
      <c r="BD152" s="325"/>
      <c r="BE152" s="325"/>
      <c r="BF152" s="325"/>
      <c r="BG152" s="391"/>
      <c r="BH152" s="391"/>
      <c r="BI152" s="367"/>
      <c r="BJ152" s="376"/>
      <c r="BK152" s="328" t="s">
        <v>161</v>
      </c>
      <c r="BL152" s="328"/>
      <c r="BM152" s="328"/>
      <c r="BN152" s="328"/>
      <c r="BO152" s="451">
        <f>BO133+BO137+BO141+BO145</f>
        <v>0</v>
      </c>
      <c r="BP152" s="313"/>
      <c r="BQ152" s="358"/>
      <c r="BR152" s="358"/>
      <c r="BS152" s="382"/>
      <c r="BT152" s="382"/>
      <c r="BU152" s="382"/>
      <c r="BV152" s="390"/>
      <c r="BW152" s="390"/>
      <c r="BX152" s="343"/>
      <c r="BY152" s="390"/>
      <c r="BZ152" s="390"/>
      <c r="CA152" s="390"/>
      <c r="CB152" s="376"/>
      <c r="CC152" s="109"/>
      <c r="CD152" s="66"/>
      <c r="CE152" s="57"/>
      <c r="CF152" s="57"/>
      <c r="CG152" s="57"/>
      <c r="CH152" s="57"/>
      <c r="CI152" s="57"/>
      <c r="CJ152" s="57"/>
      <c r="CK152" s="57"/>
      <c r="CL152" s="57"/>
      <c r="CM152" s="90"/>
      <c r="CN152" s="70"/>
      <c r="CO152" s="90"/>
      <c r="CP152" s="90"/>
    </row>
    <row r="153" spans="3:94" s="88" customFormat="1" ht="15" customHeight="1">
      <c r="C153" s="319"/>
      <c r="D153" s="313" t="s">
        <v>88</v>
      </c>
      <c r="E153" s="313"/>
      <c r="F153" s="313"/>
      <c r="G153" s="319"/>
      <c r="H153" s="319">
        <f>(H140*3)+H141+H144+(H147*2)</f>
        <v>3792</v>
      </c>
      <c r="I153" s="319">
        <f>(I140*3)+I141+I144+(I147*2)</f>
        <v>4726</v>
      </c>
      <c r="J153" s="319"/>
      <c r="K153" s="319"/>
      <c r="L153" s="319"/>
      <c r="M153" s="319"/>
      <c r="N153" s="313"/>
      <c r="O153" s="313"/>
      <c r="AU153" s="313"/>
      <c r="AV153" s="313"/>
      <c r="AW153" s="337"/>
      <c r="AX153" s="337"/>
      <c r="AY153" s="337"/>
      <c r="AZ153" s="337"/>
      <c r="BA153" s="337"/>
      <c r="BB153" s="337"/>
      <c r="BC153" s="337"/>
      <c r="BD153" s="337"/>
      <c r="BE153" s="337"/>
      <c r="BF153" s="325"/>
      <c r="BG153" s="391"/>
      <c r="BH153" s="391"/>
      <c r="BI153" s="367"/>
      <c r="BJ153" s="376"/>
      <c r="BK153" s="452" t="s">
        <v>43</v>
      </c>
      <c r="BL153" s="452"/>
      <c r="BM153" s="452"/>
      <c r="BN153" s="452"/>
      <c r="BO153" s="386">
        <f>IF(H37&lt;3,      0,        IF(H15="Imperial",       IF(BO150=1,           ((AZ5+H55+H55)/12),                    IF(BO150=2,              (2*AZ78)/12,       ((((BO150-2)*BE78)+(2*AZ78))/12))),                                                                      IF(BO150=1,                                                                                           ((AZ5+H55+H55)/1000),                   IF(BO150=2,      ((2*AZ78)/1000),         ((((BO150-2)*BE78)+(2*AZ78))/1000)))))</f>
        <v>0</v>
      </c>
      <c r="BP153" s="313"/>
      <c r="BQ153" s="358"/>
      <c r="BR153" s="358"/>
      <c r="BS153" s="343">
        <f>IF(BU2=1,         IF(BR148=1,         IF(BQ148&lt;=AZ35,       1,        2),                 IF(BR148=2,                           IF(BQ148&lt;=BU148,                        1,                      2),                                   IF(H15="Imperial",                                                                                                       IF(BQ148&lt;=((2*(BB79+(((AZ75*AZ77*H55)/1728)*(H33/100))))+(BT148*(BC79+(((BA75*BA77*H55)/1728)*(H33/100))))),       1,       2),                                                                                                                                           IF(BQ148&lt;=((2*(BB79+(((AZ75*AZ77*H55)/1000000000)*(H33/100))))+(BT148*(BC79+(((BA75*BA77*H55)/1000000000)*(H33/100))))),       1,       2)))),        IF(BX135=1,        1,      2))</f>
        <v>1</v>
      </c>
      <c r="BT153" s="343">
        <f>IF(BQ148&lt;=(2*(BU148+BW148)),     0,              IF(H15="Imperial",           IF(BR148=1,               ROUNDUP((BQ148-(2*BU148))/(BG79+((((H55-4.5)*BE75*BE78)/1728)*(H33/100))),0),                                                                                                                                         IF(BR148=2,             ROUNDUP((BQ148-(2*BU148))/(2*BG79),0),            ROUNDUP((BQ148-(2*(BU148+BW148)))/((2*BG79)+(BT148*BH79)),0))),                                                                                                                                                                                                           IF(BR148=1,                        ROUNDUP((BQ148-(2*BU148))/(BG79+((((H55-115)*BE75*BE78)/1000000000)*(H33/100))),0),                                                                                                                                                             IF(BR148=2,                        ROUNDUP((BQ148-(2*BU148))/(2*BG79),0),          ROUNDUP((BQ148-(2*(BU148+BW148)))/((2*BG79)+(BT148*BH79)),0)))))</f>
        <v>0</v>
      </c>
      <c r="BU153" s="343"/>
      <c r="BV153" s="343">
        <f>BS153+BT153</f>
        <v>1</v>
      </c>
      <c r="BW153" s="343"/>
      <c r="BX153" s="343"/>
      <c r="BY153" s="382" t="s">
        <v>108</v>
      </c>
      <c r="BZ153" s="382"/>
      <c r="CA153" s="401" t="s">
        <v>109</v>
      </c>
      <c r="CB153" s="376"/>
      <c r="CC153" s="109"/>
      <c r="CD153" s="66"/>
      <c r="CE153" s="57"/>
      <c r="CF153" s="57"/>
      <c r="CG153" s="57"/>
      <c r="CH153" s="57"/>
      <c r="CI153" s="57"/>
      <c r="CJ153" s="57"/>
      <c r="CK153" s="57"/>
      <c r="CL153" s="57"/>
      <c r="CM153" s="90"/>
      <c r="CN153" s="70"/>
      <c r="CO153" s="90"/>
      <c r="CP153" s="90"/>
    </row>
    <row r="154" spans="3:94" s="88" customFormat="1" ht="15" customHeight="1">
      <c r="C154" s="319"/>
      <c r="D154" s="313" t="s">
        <v>86</v>
      </c>
      <c r="E154" s="313"/>
      <c r="F154" s="313"/>
      <c r="G154" s="319"/>
      <c r="H154" s="319">
        <f>(H140*3)+H142+H145+(H147*2)</f>
        <v>10442</v>
      </c>
      <c r="I154" s="319">
        <f>(I140*3)+I142+I145+(I147*2)</f>
        <v>8751</v>
      </c>
      <c r="J154" s="319"/>
      <c r="K154" s="319"/>
      <c r="L154" s="319"/>
      <c r="M154" s="319"/>
      <c r="N154" s="313"/>
      <c r="O154" s="313"/>
      <c r="AU154" s="313"/>
      <c r="AV154" s="313"/>
      <c r="AW154" s="337"/>
      <c r="AX154" s="325"/>
      <c r="AY154" s="325"/>
      <c r="AZ154" s="325"/>
      <c r="BA154" s="325"/>
      <c r="BB154" s="325"/>
      <c r="BC154" s="337"/>
      <c r="BD154" s="337"/>
      <c r="BE154" s="337"/>
      <c r="BF154" s="337"/>
      <c r="BG154" s="337"/>
      <c r="BH154" s="337"/>
      <c r="BI154" s="367"/>
      <c r="BJ154" s="376"/>
      <c r="BK154" s="410" t="s">
        <v>44</v>
      </c>
      <c r="BL154" s="410"/>
      <c r="BM154" s="410"/>
      <c r="BN154" s="410"/>
      <c r="BO154" s="381">
        <f>IF(H37&lt;3,           0,          IF(H15="Imperial",          IF(BO149=1,       ((AZ77+H55-4.5)/12),              IF(BO149=2,              (2*AZ77)/12,         ((((BO149-2)*BA77)+(2*AZ77))/12))),                                                               IF(BO149=1,                                                                                            (AZ77+H55-115)/1000,               IF(BO149=2,         ((2*AZ77)/1000),       ((((BO149-2)*BA77)+(2*AZ77))/1000)))))</f>
        <v>0</v>
      </c>
      <c r="BP154" s="313"/>
      <c r="BQ154" s="358"/>
      <c r="BR154" s="358"/>
      <c r="BS154" s="343"/>
      <c r="BT154" s="343"/>
      <c r="BU154" s="343"/>
      <c r="BV154" s="343"/>
      <c r="BW154" s="343"/>
      <c r="BX154" s="343"/>
      <c r="BY154" s="382"/>
      <c r="BZ154" s="382"/>
      <c r="CA154" s="401"/>
      <c r="CB154" s="367"/>
      <c r="CC154" s="62"/>
      <c r="CD154" s="62"/>
      <c r="CE154" s="62"/>
      <c r="CF154" s="62"/>
      <c r="CG154" s="62"/>
      <c r="CH154" s="62"/>
      <c r="CI154" s="62"/>
      <c r="CJ154" s="62"/>
      <c r="CK154" s="62"/>
      <c r="CL154" s="59"/>
      <c r="CM154" s="90"/>
      <c r="CN154" s="70"/>
      <c r="CO154" s="90"/>
      <c r="CP154" s="90"/>
    </row>
    <row r="155" spans="3:94" s="88" customFormat="1" ht="15" customHeight="1"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3"/>
      <c r="O155" s="313"/>
      <c r="AU155" s="313"/>
      <c r="AV155" s="313"/>
      <c r="AW155" s="325"/>
      <c r="AX155" s="325"/>
      <c r="AY155" s="325"/>
      <c r="AZ155" s="325"/>
      <c r="BA155" s="325"/>
      <c r="BB155" s="325"/>
      <c r="BC155" s="325"/>
      <c r="BD155" s="325"/>
      <c r="BE155" s="325"/>
      <c r="BF155" s="337"/>
      <c r="BG155" s="337"/>
      <c r="BH155" s="337"/>
      <c r="BI155" s="337"/>
      <c r="BJ155" s="376"/>
      <c r="BK155" s="414"/>
      <c r="BL155" s="414"/>
      <c r="BM155" s="414"/>
      <c r="BN155" s="414"/>
      <c r="BO155" s="386"/>
      <c r="BP155" s="313"/>
      <c r="BQ155" s="407"/>
      <c r="BR155" s="407"/>
      <c r="BS155" s="383"/>
      <c r="BT155" s="383"/>
      <c r="BU155" s="383"/>
      <c r="BV155" s="383"/>
      <c r="BW155" s="383"/>
      <c r="BX155" s="343"/>
      <c r="BY155" s="343">
        <f>IF(H37&lt;3,      0,          H41)</f>
        <v>0</v>
      </c>
      <c r="BZ155" s="343"/>
      <c r="CA155" s="378">
        <f>BV153</f>
        <v>1</v>
      </c>
      <c r="CB155" s="367"/>
      <c r="CC155" s="62"/>
      <c r="CD155" s="62"/>
      <c r="CE155" s="62"/>
      <c r="CF155" s="62"/>
      <c r="CG155" s="62"/>
      <c r="CH155" s="62"/>
      <c r="CI155" s="62"/>
      <c r="CJ155" s="62"/>
      <c r="CK155" s="62"/>
      <c r="CL155" s="212"/>
      <c r="CM155" s="90"/>
      <c r="CN155" s="70"/>
      <c r="CO155" s="90"/>
      <c r="CP155" s="90"/>
    </row>
    <row r="156" spans="3:94" s="88" customFormat="1"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20"/>
      <c r="O156" s="320"/>
      <c r="AU156" s="313"/>
      <c r="AV156" s="313"/>
      <c r="AW156" s="325"/>
      <c r="AX156" s="337"/>
      <c r="AY156" s="337"/>
      <c r="AZ156" s="337"/>
      <c r="BA156" s="337"/>
      <c r="BB156" s="337"/>
      <c r="BC156" s="325"/>
      <c r="BD156" s="325"/>
      <c r="BE156" s="325"/>
      <c r="BF156" s="325"/>
      <c r="BG156" s="367"/>
      <c r="BH156" s="367"/>
      <c r="BI156" s="337"/>
      <c r="BJ156" s="376"/>
      <c r="BK156" s="414"/>
      <c r="BL156" s="414"/>
      <c r="BM156" s="414"/>
      <c r="BN156" s="414"/>
      <c r="BO156" s="388"/>
      <c r="BP156" s="313"/>
      <c r="BQ156" s="453" t="s">
        <v>156</v>
      </c>
      <c r="BR156" s="453"/>
      <c r="BS156" s="442">
        <f>BO149</f>
        <v>0</v>
      </c>
      <c r="BT156" s="383"/>
      <c r="BU156" s="383"/>
      <c r="BV156" s="383"/>
      <c r="BW156" s="383"/>
      <c r="BX156" s="343"/>
      <c r="BY156" s="343"/>
      <c r="BZ156" s="343"/>
      <c r="CA156" s="378"/>
      <c r="CB156" s="376"/>
      <c r="CC156" s="66"/>
      <c r="CD156" s="66"/>
      <c r="CE156" s="66"/>
      <c r="CF156" s="66"/>
      <c r="CG156" s="66"/>
      <c r="CH156" s="66"/>
      <c r="CI156" s="62"/>
      <c r="CJ156" s="63"/>
      <c r="CK156" s="63"/>
      <c r="CL156" s="96"/>
      <c r="CM156" s="57"/>
      <c r="CN156" s="70"/>
      <c r="CO156" s="70"/>
      <c r="CP156" s="70"/>
    </row>
    <row r="157" spans="3:94" s="88" customFormat="1"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AU157" s="313"/>
      <c r="AV157" s="313"/>
      <c r="AW157" s="337"/>
      <c r="AX157" s="337"/>
      <c r="AY157" s="337"/>
      <c r="AZ157" s="337"/>
      <c r="BA157" s="337"/>
      <c r="BB157" s="337"/>
      <c r="BC157" s="337"/>
      <c r="BD157" s="337"/>
      <c r="BE157" s="337"/>
      <c r="BF157" s="325"/>
      <c r="BG157" s="367"/>
      <c r="BH157" s="367"/>
      <c r="BI157" s="337"/>
      <c r="BJ157" s="376"/>
      <c r="BK157" s="376"/>
      <c r="BL157" s="454" t="s">
        <v>63</v>
      </c>
      <c r="BM157" s="454"/>
      <c r="BN157" s="454"/>
      <c r="BO157" s="335">
        <f>BL133+BL137+BL141+BL145</f>
        <v>0</v>
      </c>
      <c r="BP157" s="313"/>
      <c r="BQ157" s="453" t="s">
        <v>157</v>
      </c>
      <c r="BR157" s="453"/>
      <c r="BS157" s="442">
        <f>BV153</f>
        <v>1</v>
      </c>
      <c r="BT157" s="383"/>
      <c r="BU157" s="383"/>
      <c r="BV157" s="383"/>
      <c r="BW157" s="383"/>
      <c r="BX157" s="325"/>
      <c r="BY157" s="407"/>
      <c r="BZ157" s="407"/>
      <c r="CA157" s="383"/>
      <c r="CB157" s="376"/>
      <c r="CC157" s="66"/>
      <c r="CD157" s="66"/>
      <c r="CE157" s="66"/>
      <c r="CF157" s="66"/>
      <c r="CG157" s="66"/>
      <c r="CH157" s="66"/>
      <c r="CI157" s="62"/>
      <c r="CJ157" s="63"/>
      <c r="CK157" s="63"/>
      <c r="CL157" s="212"/>
      <c r="CM157" s="57"/>
      <c r="CN157" s="70"/>
      <c r="CO157" s="70"/>
      <c r="CP157" s="70"/>
    </row>
    <row r="158" spans="3:94" s="88" customFormat="1" ht="15" customHeight="1"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AU158" s="313"/>
      <c r="AV158" s="313"/>
      <c r="AW158" s="337"/>
      <c r="AX158" s="325"/>
      <c r="AY158" s="325"/>
      <c r="AZ158" s="325"/>
      <c r="BA158" s="325"/>
      <c r="BB158" s="325"/>
      <c r="BC158" s="337"/>
      <c r="BD158" s="337"/>
      <c r="BE158" s="337"/>
      <c r="BF158" s="337"/>
      <c r="BG158" s="367"/>
      <c r="BH158" s="367"/>
      <c r="BI158" s="325"/>
      <c r="BJ158" s="376"/>
      <c r="BK158" s="376"/>
      <c r="BL158" s="313"/>
      <c r="BM158" s="313"/>
      <c r="BN158" s="313"/>
      <c r="BO158" s="313"/>
      <c r="BP158" s="313"/>
      <c r="BQ158" s="318"/>
      <c r="BR158" s="318"/>
      <c r="BS158" s="383"/>
      <c r="BT158" s="383"/>
      <c r="BU158" s="383"/>
      <c r="BV158" s="383"/>
      <c r="BW158" s="383"/>
      <c r="BX158" s="325"/>
      <c r="BY158" s="407"/>
      <c r="BZ158" s="407"/>
      <c r="CA158" s="383"/>
      <c r="CB158" s="367"/>
      <c r="CC158" s="62"/>
      <c r="CD158" s="62"/>
      <c r="CE158" s="62"/>
      <c r="CF158" s="62"/>
      <c r="CG158" s="62"/>
      <c r="CH158" s="62"/>
      <c r="CI158" s="62"/>
      <c r="CJ158" s="62"/>
      <c r="CK158" s="62"/>
      <c r="CL158" s="96"/>
      <c r="CM158" s="57"/>
      <c r="CN158" s="70"/>
      <c r="CO158" s="70"/>
      <c r="CP158" s="70"/>
    </row>
    <row r="159" spans="3:94" s="88" customFormat="1">
      <c r="AU159" s="313"/>
      <c r="AV159" s="313"/>
      <c r="AW159" s="325"/>
      <c r="AX159" s="325"/>
      <c r="AY159" s="325"/>
      <c r="AZ159" s="325"/>
      <c r="BA159" s="325"/>
      <c r="BB159" s="325"/>
      <c r="BC159" s="325"/>
      <c r="BD159" s="325"/>
      <c r="BE159" s="325"/>
      <c r="BF159" s="337"/>
      <c r="BG159" s="367"/>
      <c r="BH159" s="367"/>
      <c r="BI159" s="325"/>
      <c r="BJ159" s="376"/>
      <c r="BK159" s="424" t="s">
        <v>92</v>
      </c>
      <c r="BL159" s="424"/>
      <c r="BM159" s="424"/>
      <c r="BN159" s="425">
        <f>(BB79*1728)/AZ78</f>
        <v>756.86400000000003</v>
      </c>
      <c r="BO159" s="313"/>
      <c r="BP159" s="313"/>
      <c r="BQ159" s="318"/>
      <c r="BR159" s="318"/>
      <c r="BS159" s="383"/>
      <c r="BT159" s="383"/>
      <c r="BU159" s="383"/>
      <c r="BV159" s="383"/>
      <c r="BW159" s="383"/>
      <c r="BX159" s="325"/>
      <c r="BY159" s="376"/>
      <c r="BZ159" s="376"/>
      <c r="CA159" s="376"/>
      <c r="CB159" s="367"/>
      <c r="CC159" s="62"/>
      <c r="CD159" s="62"/>
      <c r="CE159" s="62"/>
      <c r="CF159" s="62"/>
      <c r="CG159" s="62"/>
      <c r="CH159" s="62"/>
      <c r="CI159" s="62"/>
      <c r="CJ159" s="62"/>
      <c r="CK159" s="62"/>
      <c r="CL159" s="86"/>
      <c r="CM159" s="57"/>
      <c r="CN159" s="70"/>
      <c r="CO159" s="70"/>
      <c r="CP159" s="70"/>
    </row>
    <row r="160" spans="3:94" s="88" customFormat="1">
      <c r="AU160" s="313"/>
      <c r="AV160" s="313"/>
      <c r="AW160" s="325"/>
      <c r="AX160" s="337"/>
      <c r="AY160" s="337"/>
      <c r="AZ160" s="337"/>
      <c r="BA160" s="337"/>
      <c r="BB160" s="337"/>
      <c r="BC160" s="325"/>
      <c r="BD160" s="325"/>
      <c r="BE160" s="325"/>
      <c r="BF160" s="325"/>
      <c r="BG160" s="367"/>
      <c r="BH160" s="367"/>
      <c r="BI160" s="313"/>
      <c r="BJ160" s="313"/>
      <c r="BK160" s="428" t="s">
        <v>93</v>
      </c>
      <c r="BL160" s="428"/>
      <c r="BM160" s="428"/>
      <c r="BN160" s="417">
        <f>(BB79*1728)/AZ77</f>
        <v>1038.8329411764705</v>
      </c>
      <c r="BO160" s="313"/>
      <c r="BP160" s="313"/>
      <c r="BQ160" s="383"/>
      <c r="BR160" s="383"/>
      <c r="BS160" s="383"/>
      <c r="BT160" s="383"/>
      <c r="BU160" s="383"/>
      <c r="BV160" s="383"/>
      <c r="BW160" s="383"/>
      <c r="BX160" s="325"/>
      <c r="BY160" s="376"/>
      <c r="BZ160" s="376"/>
      <c r="CA160" s="376"/>
      <c r="CB160" s="376"/>
      <c r="CC160" s="66"/>
      <c r="CD160" s="66"/>
      <c r="CE160" s="66"/>
      <c r="CF160" s="66"/>
      <c r="CG160" s="66"/>
      <c r="CH160" s="66"/>
      <c r="CI160" s="66"/>
      <c r="CJ160" s="57"/>
      <c r="CK160" s="57"/>
      <c r="CL160" s="86"/>
      <c r="CM160" s="70"/>
      <c r="CN160" s="70"/>
      <c r="CO160" s="70"/>
      <c r="CP160" s="70"/>
    </row>
    <row r="161" spans="47:94" s="88" customFormat="1" ht="15" customHeight="1">
      <c r="AU161" s="313"/>
      <c r="AV161" s="313"/>
      <c r="AW161" s="337"/>
      <c r="AX161" s="337"/>
      <c r="AY161" s="337"/>
      <c r="AZ161" s="337"/>
      <c r="BA161" s="337"/>
      <c r="BB161" s="337"/>
      <c r="BC161" s="337"/>
      <c r="BD161" s="337"/>
      <c r="BE161" s="337"/>
      <c r="BF161" s="325"/>
      <c r="BG161" s="367"/>
      <c r="BH161" s="367"/>
      <c r="BI161" s="313"/>
      <c r="BJ161" s="313"/>
      <c r="BK161" s="424" t="s">
        <v>95</v>
      </c>
      <c r="BL161" s="424"/>
      <c r="BM161" s="424"/>
      <c r="BN161" s="388">
        <f>(BC79*1728)/BA78</f>
        <v>756.86400000000003</v>
      </c>
      <c r="BO161" s="313"/>
      <c r="BP161" s="313"/>
      <c r="BQ161" s="383"/>
      <c r="BR161" s="383"/>
      <c r="BS161" s="383"/>
      <c r="BT161" s="383"/>
      <c r="BU161" s="383"/>
      <c r="BV161" s="383"/>
      <c r="BW161" s="383"/>
      <c r="BX161" s="325"/>
      <c r="BY161" s="318"/>
      <c r="BZ161" s="318"/>
      <c r="CA161" s="318"/>
      <c r="CB161" s="376"/>
      <c r="CC161" s="66"/>
      <c r="CD161" s="66"/>
      <c r="CE161" s="66"/>
      <c r="CF161" s="66"/>
      <c r="CG161" s="66"/>
      <c r="CH161" s="66"/>
      <c r="CI161" s="66"/>
      <c r="CJ161" s="57"/>
      <c r="CK161" s="57"/>
      <c r="CL161" s="96"/>
      <c r="CM161" s="70"/>
      <c r="CN161" s="70"/>
      <c r="CO161" s="70"/>
      <c r="CP161" s="70"/>
    </row>
    <row r="162" spans="47:94" s="88" customFormat="1">
      <c r="AU162" s="313"/>
      <c r="AV162" s="313"/>
      <c r="AW162" s="337"/>
      <c r="AX162" s="337"/>
      <c r="AY162" s="337"/>
      <c r="AZ162" s="337"/>
      <c r="BA162" s="337"/>
      <c r="BB162" s="337"/>
      <c r="BC162" s="337"/>
      <c r="BD162" s="337"/>
      <c r="BE162" s="337"/>
      <c r="BF162" s="337"/>
      <c r="BG162" s="337"/>
      <c r="BH162" s="337"/>
      <c r="BI162" s="313"/>
      <c r="BJ162" s="313"/>
      <c r="BK162" s="428" t="s">
        <v>96</v>
      </c>
      <c r="BL162" s="428"/>
      <c r="BM162" s="428"/>
      <c r="BN162" s="417">
        <f>(BC79*1728)/BA77</f>
        <v>1151.7495652173914</v>
      </c>
      <c r="BO162" s="313"/>
      <c r="BP162" s="313"/>
      <c r="BQ162" s="383"/>
      <c r="BR162" s="383"/>
      <c r="BS162" s="383"/>
      <c r="BT162" s="383"/>
      <c r="BU162" s="383"/>
      <c r="BV162" s="383"/>
      <c r="BW162" s="383"/>
      <c r="BX162" s="325"/>
      <c r="BY162" s="318"/>
      <c r="BZ162" s="318"/>
      <c r="CA162" s="318"/>
      <c r="CB162" s="367"/>
      <c r="CC162" s="62"/>
      <c r="CD162" s="62"/>
      <c r="CE162" s="62"/>
      <c r="CF162" s="62"/>
      <c r="CG162" s="62"/>
      <c r="CH162" s="62"/>
      <c r="CI162" s="62"/>
      <c r="CJ162" s="62"/>
      <c r="CK162" s="62"/>
      <c r="CL162" s="86"/>
      <c r="CM162" s="70"/>
      <c r="CN162" s="70"/>
      <c r="CO162" s="70"/>
      <c r="CP162" s="70"/>
    </row>
    <row r="163" spans="47:94" s="88" customFormat="1">
      <c r="AU163" s="313"/>
      <c r="AV163" s="313"/>
      <c r="AW163" s="337"/>
      <c r="AX163" s="325"/>
      <c r="AY163" s="325"/>
      <c r="AZ163" s="325"/>
      <c r="BA163" s="325"/>
      <c r="BB163" s="325"/>
      <c r="BC163" s="337"/>
      <c r="BD163" s="337"/>
      <c r="BE163" s="337"/>
      <c r="BF163" s="337"/>
      <c r="BG163" s="337"/>
      <c r="BH163" s="337"/>
      <c r="BI163" s="313"/>
      <c r="BJ163" s="313"/>
      <c r="BK163" s="416"/>
      <c r="BL163" s="416"/>
      <c r="BM163" s="416"/>
      <c r="BN163" s="391"/>
      <c r="BO163" s="324"/>
      <c r="BP163" s="313"/>
      <c r="BQ163" s="376"/>
      <c r="BR163" s="376"/>
      <c r="BS163" s="376"/>
      <c r="BT163" s="376"/>
      <c r="BU163" s="383"/>
      <c r="BV163" s="383"/>
      <c r="BW163" s="383"/>
      <c r="BX163" s="325"/>
      <c r="BY163" s="318"/>
      <c r="BZ163" s="318"/>
      <c r="CA163" s="318"/>
      <c r="CB163" s="367"/>
      <c r="CC163" s="62"/>
      <c r="CD163" s="62"/>
      <c r="CE163" s="62"/>
      <c r="CF163" s="62"/>
      <c r="CG163" s="62"/>
      <c r="CH163" s="62"/>
      <c r="CI163" s="62"/>
      <c r="CJ163" s="62"/>
      <c r="CK163" s="62"/>
      <c r="CL163" s="86"/>
      <c r="CM163" s="70"/>
      <c r="CN163" s="70"/>
      <c r="CO163" s="70"/>
      <c r="CP163" s="70"/>
    </row>
    <row r="164" spans="47:94" s="88" customFormat="1">
      <c r="AU164" s="313"/>
      <c r="AV164" s="313"/>
      <c r="AW164" s="325"/>
      <c r="AX164" s="325"/>
      <c r="AY164" s="325"/>
      <c r="AZ164" s="325"/>
      <c r="BA164" s="325"/>
      <c r="BB164" s="325"/>
      <c r="BC164" s="325"/>
      <c r="BD164" s="325"/>
      <c r="BE164" s="325"/>
      <c r="BF164" s="337"/>
      <c r="BG164" s="337"/>
      <c r="BH164" s="337"/>
      <c r="BI164" s="313"/>
      <c r="BJ164" s="313"/>
      <c r="BK164" s="428" t="s">
        <v>94</v>
      </c>
      <c r="BL164" s="428"/>
      <c r="BM164" s="428"/>
      <c r="BN164" s="417">
        <f>(BG79*1728)/BE78</f>
        <v>892.92943820224718</v>
      </c>
      <c r="BO164" s="324"/>
      <c r="BP164" s="313"/>
      <c r="BQ164" s="376"/>
      <c r="BR164" s="376"/>
      <c r="BS164" s="376"/>
      <c r="BT164" s="376"/>
      <c r="BU164" s="383"/>
      <c r="BV164" s="383"/>
      <c r="BW164" s="383"/>
      <c r="BX164" s="325"/>
      <c r="BY164" s="318"/>
      <c r="BZ164" s="318"/>
      <c r="CA164" s="318"/>
      <c r="CB164" s="376"/>
      <c r="CC164" s="66"/>
      <c r="CD164" s="66"/>
      <c r="CE164" s="66"/>
      <c r="CF164" s="66"/>
      <c r="CG164" s="66"/>
      <c r="CH164" s="66"/>
      <c r="CI164" s="62"/>
      <c r="CJ164" s="62"/>
      <c r="CK164" s="62"/>
      <c r="CL164" s="106"/>
      <c r="CM164" s="70"/>
      <c r="CN164" s="70"/>
      <c r="CO164" s="70"/>
      <c r="CP164" s="70"/>
    </row>
    <row r="165" spans="47:94" s="88" customFormat="1" ht="23.25">
      <c r="AU165" s="313"/>
      <c r="AV165" s="313"/>
      <c r="AW165" s="325"/>
      <c r="AX165" s="415"/>
      <c r="AY165" s="415"/>
      <c r="AZ165" s="415"/>
      <c r="BA165" s="415"/>
      <c r="BB165" s="415"/>
      <c r="BC165" s="325"/>
      <c r="BD165" s="325"/>
      <c r="BE165" s="325"/>
      <c r="BF165" s="325"/>
      <c r="BG165" s="325"/>
      <c r="BH165" s="325"/>
      <c r="BI165" s="313"/>
      <c r="BJ165" s="313"/>
      <c r="BK165" s="428" t="s">
        <v>97</v>
      </c>
      <c r="BL165" s="428"/>
      <c r="BM165" s="428"/>
      <c r="BN165" s="388">
        <f>(BG79*1728)/BE77</f>
        <v>1038.8329411764705</v>
      </c>
      <c r="BO165" s="324"/>
      <c r="BP165" s="313"/>
      <c r="BQ165" s="313"/>
      <c r="BR165" s="313"/>
      <c r="BS165" s="313"/>
      <c r="BT165" s="313"/>
      <c r="BU165" s="313"/>
      <c r="BV165" s="313"/>
      <c r="BW165" s="313"/>
      <c r="BX165" s="313"/>
      <c r="BY165" s="313"/>
      <c r="BZ165" s="313"/>
      <c r="CA165" s="313"/>
      <c r="CB165" s="376"/>
      <c r="CC165" s="66"/>
      <c r="CD165" s="66"/>
      <c r="CE165" s="66"/>
      <c r="CF165" s="66"/>
      <c r="CG165" s="66"/>
      <c r="CH165" s="66"/>
      <c r="CI165" s="62"/>
      <c r="CJ165" s="62"/>
      <c r="CK165" s="62"/>
      <c r="CL165" s="66"/>
      <c r="CM165" s="70"/>
      <c r="CN165" s="70"/>
      <c r="CO165" s="70"/>
      <c r="CP165" s="70"/>
    </row>
    <row r="166" spans="47:94" s="88" customFormat="1" ht="15" customHeight="1">
      <c r="AU166" s="313"/>
      <c r="AV166" s="313"/>
      <c r="AW166" s="415"/>
      <c r="AX166" s="415"/>
      <c r="AY166" s="415"/>
      <c r="AZ166" s="415"/>
      <c r="BA166" s="415"/>
      <c r="BB166" s="415"/>
      <c r="BC166" s="415"/>
      <c r="BD166" s="415"/>
      <c r="BE166" s="415"/>
      <c r="BF166" s="325"/>
      <c r="BG166" s="325"/>
      <c r="BH166" s="325"/>
      <c r="BI166" s="313"/>
      <c r="BJ166" s="313"/>
      <c r="BK166" s="428" t="s">
        <v>98</v>
      </c>
      <c r="BL166" s="428"/>
      <c r="BM166" s="428"/>
      <c r="BN166" s="417">
        <f>(BH79*1728)/BF78</f>
        <v>892.92943820224718</v>
      </c>
      <c r="BO166" s="324"/>
      <c r="BP166" s="313"/>
      <c r="BQ166" s="313"/>
      <c r="BR166" s="313"/>
      <c r="BS166" s="313"/>
      <c r="BT166" s="313"/>
      <c r="BU166" s="313"/>
      <c r="BV166" s="313"/>
      <c r="BW166" s="313"/>
      <c r="BX166" s="313"/>
      <c r="BY166" s="313"/>
      <c r="BZ166" s="313"/>
      <c r="CA166" s="313"/>
      <c r="CB166" s="415"/>
      <c r="CC166" s="58"/>
      <c r="CD166" s="58"/>
      <c r="CE166" s="58"/>
      <c r="CF166" s="58"/>
      <c r="CG166" s="58"/>
      <c r="CH166" s="58"/>
      <c r="CI166" s="58"/>
      <c r="CJ166" s="58"/>
      <c r="CK166" s="58"/>
      <c r="CL166" s="90"/>
      <c r="CM166" s="70"/>
      <c r="CN166" s="70"/>
      <c r="CO166" s="70"/>
      <c r="CP166" s="70"/>
    </row>
    <row r="167" spans="47:94" s="88" customFormat="1" ht="15" customHeight="1">
      <c r="AU167" s="313"/>
      <c r="AV167" s="313"/>
      <c r="AW167" s="415"/>
      <c r="AX167" s="444"/>
      <c r="AY167" s="444"/>
      <c r="AZ167" s="444"/>
      <c r="BA167" s="444"/>
      <c r="BB167" s="444"/>
      <c r="BC167" s="415"/>
      <c r="BD167" s="415"/>
      <c r="BE167" s="415"/>
      <c r="BF167" s="415"/>
      <c r="BG167" s="415"/>
      <c r="BH167" s="415"/>
      <c r="BI167" s="313"/>
      <c r="BJ167" s="313"/>
      <c r="BK167" s="428" t="s">
        <v>99</v>
      </c>
      <c r="BL167" s="428"/>
      <c r="BM167" s="428"/>
      <c r="BN167" s="388">
        <f>(BH79*1728)/BF77</f>
        <v>1151.7495652173914</v>
      </c>
      <c r="BO167" s="324"/>
      <c r="BP167" s="313"/>
      <c r="BQ167" s="313"/>
      <c r="BR167" s="313"/>
      <c r="BS167" s="313"/>
      <c r="BT167" s="313"/>
      <c r="BU167" s="313"/>
      <c r="BV167" s="313"/>
      <c r="BW167" s="313"/>
      <c r="BX167" s="313"/>
      <c r="BY167" s="313"/>
      <c r="BZ167" s="313"/>
      <c r="CA167" s="313"/>
      <c r="CB167" s="415"/>
      <c r="CC167" s="58"/>
      <c r="CD167" s="58"/>
      <c r="CE167" s="58"/>
      <c r="CF167" s="58"/>
      <c r="CG167" s="58"/>
      <c r="CH167" s="58"/>
      <c r="CI167" s="58"/>
      <c r="CJ167" s="58"/>
      <c r="CK167" s="58"/>
      <c r="CL167" s="90"/>
      <c r="CM167" s="70"/>
      <c r="CN167" s="70"/>
      <c r="CO167" s="70"/>
      <c r="CP167" s="70"/>
    </row>
    <row r="168" spans="47:94" s="88" customFormat="1" ht="23.25">
      <c r="AU168" s="313"/>
      <c r="AV168" s="313"/>
      <c r="AW168" s="444"/>
      <c r="AX168" s="448"/>
      <c r="AY168" s="448"/>
      <c r="AZ168" s="448"/>
      <c r="BA168" s="337"/>
      <c r="BB168" s="337"/>
      <c r="BC168" s="444"/>
      <c r="BD168" s="444"/>
      <c r="BE168" s="444"/>
      <c r="BF168" s="415"/>
      <c r="BG168" s="415"/>
      <c r="BH168" s="415"/>
      <c r="BI168" s="313"/>
      <c r="BJ168" s="313"/>
      <c r="BK168" s="313"/>
      <c r="BL168" s="313"/>
      <c r="BM168" s="324"/>
      <c r="BN168" s="455"/>
      <c r="BO168" s="324"/>
      <c r="BP168" s="313"/>
      <c r="BQ168" s="313"/>
      <c r="BR168" s="313"/>
      <c r="BS168" s="313"/>
      <c r="BT168" s="313"/>
      <c r="BU168" s="313"/>
      <c r="BV168" s="313"/>
      <c r="BW168" s="313"/>
      <c r="BX168" s="313"/>
      <c r="BY168" s="313"/>
      <c r="BZ168" s="313"/>
      <c r="CA168" s="313"/>
      <c r="CB168" s="444"/>
      <c r="CC168" s="59"/>
      <c r="CD168" s="59"/>
      <c r="CE168" s="59"/>
      <c r="CF168" s="59"/>
      <c r="CG168" s="59"/>
      <c r="CH168" s="59"/>
      <c r="CI168" s="59"/>
      <c r="CJ168" s="59"/>
      <c r="CK168" s="59"/>
      <c r="CL168" s="90"/>
      <c r="CM168" s="70"/>
      <c r="CN168" s="70"/>
      <c r="CO168" s="70"/>
      <c r="CP168" s="70"/>
    </row>
    <row r="169" spans="47:94" s="88" customFormat="1" ht="15.75">
      <c r="AU169" s="313"/>
      <c r="AV169" s="313"/>
      <c r="AW169" s="448"/>
      <c r="AX169" s="325"/>
      <c r="AY169" s="449"/>
      <c r="AZ169" s="449"/>
      <c r="BA169" s="325"/>
      <c r="BB169" s="325"/>
      <c r="BC169" s="337"/>
      <c r="BD169" s="337"/>
      <c r="BE169" s="337"/>
      <c r="BF169" s="444"/>
      <c r="BG169" s="444"/>
      <c r="BH169" s="444"/>
      <c r="BI169" s="313"/>
      <c r="BJ169" s="313"/>
      <c r="BK169" s="313"/>
      <c r="BL169" s="313"/>
      <c r="BM169" s="324"/>
      <c r="BN169" s="455"/>
      <c r="BO169" s="324"/>
      <c r="BP169" s="313"/>
      <c r="BQ169" s="313"/>
      <c r="BR169" s="313"/>
      <c r="BS169" s="313"/>
      <c r="BT169" s="313"/>
      <c r="BU169" s="313"/>
      <c r="BV169" s="313"/>
      <c r="BW169" s="313"/>
      <c r="BX169" s="313"/>
      <c r="BY169" s="313"/>
      <c r="BZ169" s="313"/>
      <c r="CA169" s="313"/>
      <c r="CB169" s="367"/>
      <c r="CC169" s="62"/>
      <c r="CD169" s="62"/>
      <c r="CE169" s="62"/>
      <c r="CF169" s="62"/>
      <c r="CG169" s="62"/>
      <c r="CH169" s="62"/>
      <c r="CI169" s="62"/>
      <c r="CJ169" s="66"/>
      <c r="CK169" s="66"/>
      <c r="CL169" s="90"/>
      <c r="CM169" s="70"/>
      <c r="CN169" s="70"/>
      <c r="CO169" s="70"/>
      <c r="CP169" s="70"/>
    </row>
    <row r="170" spans="47:94" s="88" customFormat="1">
      <c r="AU170" s="313"/>
      <c r="AV170" s="313"/>
      <c r="AW170" s="325"/>
      <c r="AX170" s="325"/>
      <c r="AY170" s="449"/>
      <c r="AZ170" s="449"/>
      <c r="BA170" s="325"/>
      <c r="BB170" s="325"/>
      <c r="BC170" s="391"/>
      <c r="BD170" s="391"/>
      <c r="BE170" s="391"/>
      <c r="BF170" s="337"/>
      <c r="BG170" s="337"/>
      <c r="BH170" s="337"/>
      <c r="BI170" s="313"/>
      <c r="BJ170" s="313"/>
      <c r="BK170" s="313"/>
      <c r="BL170" s="313"/>
      <c r="BM170" s="324"/>
      <c r="BN170" s="455"/>
      <c r="BO170" s="324"/>
      <c r="BP170" s="313"/>
      <c r="BQ170" s="313"/>
      <c r="BR170" s="313"/>
      <c r="BS170" s="313"/>
      <c r="BT170" s="313"/>
      <c r="BU170" s="313"/>
      <c r="BV170" s="313"/>
      <c r="BW170" s="313"/>
      <c r="BX170" s="313"/>
      <c r="BY170" s="313"/>
      <c r="BZ170" s="313"/>
      <c r="CA170" s="313"/>
      <c r="CB170" s="367"/>
      <c r="CC170" s="62"/>
      <c r="CD170" s="62"/>
      <c r="CE170" s="62"/>
      <c r="CF170" s="62"/>
      <c r="CG170" s="62"/>
      <c r="CH170" s="62"/>
      <c r="CI170" s="62"/>
      <c r="CJ170" s="66"/>
      <c r="CK170" s="66"/>
      <c r="CL170" s="90"/>
      <c r="CM170" s="70"/>
      <c r="CN170" s="70"/>
      <c r="CO170" s="70"/>
      <c r="CP170" s="70"/>
    </row>
    <row r="171" spans="47:94" s="88" customFormat="1">
      <c r="AU171" s="313"/>
      <c r="AV171" s="313"/>
      <c r="AW171" s="325"/>
      <c r="AX171" s="337"/>
      <c r="AY171" s="337"/>
      <c r="AZ171" s="337"/>
      <c r="BA171" s="337"/>
      <c r="BB171" s="337"/>
      <c r="BC171" s="391"/>
      <c r="BD171" s="391"/>
      <c r="BE171" s="391"/>
      <c r="BF171" s="391"/>
      <c r="BG171" s="391"/>
      <c r="BH171" s="391"/>
      <c r="BI171" s="313"/>
      <c r="BJ171" s="313"/>
      <c r="BK171" s="313"/>
      <c r="BL171" s="313"/>
      <c r="BM171" s="324"/>
      <c r="BN171" s="455"/>
      <c r="BO171" s="324"/>
      <c r="BP171" s="313"/>
      <c r="BQ171" s="313"/>
      <c r="BR171" s="313"/>
      <c r="BS171" s="313"/>
      <c r="BT171" s="313"/>
      <c r="BU171" s="313"/>
      <c r="BV171" s="313"/>
      <c r="BW171" s="313"/>
      <c r="BX171" s="313"/>
      <c r="BY171" s="313"/>
      <c r="BZ171" s="313"/>
      <c r="CA171" s="313"/>
      <c r="CB171" s="376"/>
      <c r="CC171" s="109"/>
      <c r="CD171" s="66"/>
      <c r="CE171" s="66"/>
      <c r="CF171" s="66"/>
      <c r="CG171" s="66"/>
      <c r="CH171" s="66"/>
      <c r="CI171" s="66"/>
      <c r="CJ171" s="66"/>
      <c r="CK171" s="66"/>
      <c r="CL171" s="57"/>
      <c r="CM171" s="70"/>
      <c r="CN171" s="70"/>
      <c r="CO171" s="70"/>
      <c r="CP171" s="70"/>
    </row>
    <row r="172" spans="47:94" s="88" customFormat="1">
      <c r="AU172" s="313"/>
      <c r="AV172" s="313"/>
      <c r="AW172" s="337"/>
      <c r="AX172" s="337"/>
      <c r="AY172" s="337"/>
      <c r="AZ172" s="337"/>
      <c r="BA172" s="337"/>
      <c r="BB172" s="337"/>
      <c r="BC172" s="337"/>
      <c r="BD172" s="337"/>
      <c r="BE172" s="337"/>
      <c r="BF172" s="391"/>
      <c r="BG172" s="391"/>
      <c r="BH172" s="391"/>
      <c r="BI172" s="313"/>
      <c r="BJ172" s="313"/>
      <c r="BK172" s="313"/>
      <c r="BL172" s="313"/>
      <c r="BM172" s="324"/>
      <c r="BN172" s="455"/>
      <c r="BO172" s="324"/>
      <c r="BP172" s="313"/>
      <c r="BQ172" s="313"/>
      <c r="BR172" s="313"/>
      <c r="BS172" s="313"/>
      <c r="BT172" s="313"/>
      <c r="BU172" s="313"/>
      <c r="BV172" s="313"/>
      <c r="BW172" s="313"/>
      <c r="BX172" s="313"/>
      <c r="BY172" s="313"/>
      <c r="BZ172" s="313"/>
      <c r="CA172" s="313"/>
      <c r="CB172" s="376"/>
      <c r="CC172" s="109"/>
      <c r="CD172" s="66"/>
      <c r="CE172" s="66"/>
      <c r="CF172" s="66"/>
      <c r="CG172" s="66"/>
      <c r="CH172" s="66"/>
      <c r="CI172" s="66"/>
      <c r="CJ172" s="66"/>
      <c r="CK172" s="66"/>
      <c r="CL172" s="57"/>
      <c r="CM172" s="70"/>
      <c r="CN172" s="70"/>
      <c r="CO172" s="70"/>
      <c r="CP172" s="70"/>
    </row>
    <row r="173" spans="47:94" s="88" customFormat="1">
      <c r="AU173" s="313"/>
      <c r="AV173" s="313"/>
      <c r="AW173" s="337"/>
      <c r="AX173" s="325"/>
      <c r="AY173" s="325"/>
      <c r="AZ173" s="325"/>
      <c r="BA173" s="325"/>
      <c r="BB173" s="325"/>
      <c r="BC173" s="337"/>
      <c r="BD173" s="337"/>
      <c r="BE173" s="337"/>
      <c r="BF173" s="337"/>
      <c r="BG173" s="391"/>
      <c r="BH173" s="391"/>
      <c r="BI173" s="313"/>
      <c r="BJ173" s="313"/>
      <c r="BK173" s="313"/>
      <c r="BL173" s="313"/>
      <c r="BM173" s="324"/>
      <c r="BN173" s="455"/>
      <c r="BO173" s="324"/>
      <c r="BP173" s="313"/>
      <c r="BQ173" s="313"/>
      <c r="BR173" s="313"/>
      <c r="BS173" s="313"/>
      <c r="BT173" s="313"/>
      <c r="BU173" s="313"/>
      <c r="BV173" s="313"/>
      <c r="BW173" s="313"/>
      <c r="BX173" s="313"/>
      <c r="BY173" s="313"/>
      <c r="BZ173" s="313"/>
      <c r="CA173" s="313"/>
      <c r="CB173" s="367"/>
      <c r="CC173" s="62"/>
      <c r="CD173" s="62"/>
      <c r="CE173" s="62"/>
      <c r="CF173" s="62"/>
      <c r="CG173" s="62"/>
      <c r="CH173" s="62"/>
      <c r="CI173" s="86"/>
      <c r="CJ173" s="62"/>
      <c r="CK173" s="62"/>
      <c r="CL173" s="57"/>
      <c r="CM173" s="70"/>
      <c r="CN173" s="70"/>
      <c r="CO173" s="70"/>
      <c r="CP173" s="70"/>
    </row>
    <row r="174" spans="47:94" s="88" customFormat="1">
      <c r="AU174" s="313"/>
      <c r="AV174" s="313"/>
      <c r="AW174" s="325"/>
      <c r="AX174" s="325"/>
      <c r="AY174" s="325"/>
      <c r="AZ174" s="325"/>
      <c r="BA174" s="325"/>
      <c r="BB174" s="325"/>
      <c r="BC174" s="325"/>
      <c r="BD174" s="325"/>
      <c r="BE174" s="325"/>
      <c r="BF174" s="337"/>
      <c r="BG174" s="391"/>
      <c r="BH174" s="391"/>
      <c r="BI174" s="313"/>
      <c r="BJ174" s="313"/>
      <c r="BK174" s="313"/>
      <c r="BL174" s="313"/>
      <c r="BM174" s="324"/>
      <c r="BN174" s="455"/>
      <c r="BO174" s="324"/>
      <c r="BP174" s="313"/>
      <c r="BQ174" s="313"/>
      <c r="BR174" s="313"/>
      <c r="BS174" s="313"/>
      <c r="BT174" s="313"/>
      <c r="BU174" s="313"/>
      <c r="BV174" s="313"/>
      <c r="BW174" s="313"/>
      <c r="BX174" s="313"/>
      <c r="BY174" s="313"/>
      <c r="BZ174" s="313"/>
      <c r="CA174" s="313"/>
      <c r="CB174" s="367"/>
      <c r="CC174" s="62"/>
      <c r="CD174" s="62"/>
      <c r="CE174" s="62"/>
      <c r="CF174" s="62"/>
      <c r="CG174" s="62"/>
      <c r="CH174" s="62"/>
      <c r="CI174" s="86"/>
      <c r="CJ174" s="62"/>
      <c r="CK174" s="62"/>
      <c r="CL174" s="57"/>
      <c r="CM174" s="70"/>
      <c r="CN174" s="70"/>
      <c r="CO174" s="70"/>
      <c r="CP174" s="70"/>
    </row>
    <row r="175" spans="47:94" s="88" customFormat="1">
      <c r="AU175" s="313"/>
      <c r="AV175" s="313"/>
      <c r="AW175" s="325"/>
      <c r="AX175" s="337"/>
      <c r="AY175" s="337"/>
      <c r="AZ175" s="337"/>
      <c r="BA175" s="337"/>
      <c r="BB175" s="337"/>
      <c r="BC175" s="325"/>
      <c r="BD175" s="325"/>
      <c r="BE175" s="325"/>
      <c r="BF175" s="325"/>
      <c r="BG175" s="391"/>
      <c r="BH175" s="391"/>
      <c r="BI175" s="313"/>
      <c r="BJ175" s="313"/>
      <c r="BK175" s="313"/>
      <c r="BL175" s="313"/>
      <c r="BM175" s="324"/>
      <c r="BN175" s="455"/>
      <c r="BO175" s="324"/>
      <c r="BP175" s="313"/>
      <c r="BQ175" s="313"/>
      <c r="BR175" s="313"/>
      <c r="BS175" s="313"/>
      <c r="BT175" s="313"/>
      <c r="BU175" s="313"/>
      <c r="BV175" s="313"/>
      <c r="BW175" s="313"/>
      <c r="BX175" s="313"/>
      <c r="BY175" s="313"/>
      <c r="BZ175" s="313"/>
      <c r="CA175" s="313"/>
      <c r="CB175" s="376"/>
      <c r="CC175" s="66"/>
      <c r="CD175" s="66"/>
      <c r="CE175" s="66"/>
      <c r="CF175" s="66"/>
      <c r="CG175" s="66"/>
      <c r="CH175" s="66"/>
      <c r="CI175" s="86"/>
      <c r="CJ175" s="63"/>
      <c r="CK175" s="63"/>
      <c r="CL175" s="211"/>
      <c r="CM175" s="70"/>
      <c r="CN175" s="70"/>
      <c r="CO175" s="70"/>
      <c r="CP175" s="70"/>
    </row>
    <row r="176" spans="47:94" s="88" customFormat="1">
      <c r="AU176" s="91"/>
      <c r="AV176" s="70"/>
      <c r="AW176" s="61"/>
      <c r="AX176" s="61"/>
      <c r="AY176" s="61"/>
      <c r="AZ176" s="61"/>
      <c r="BA176" s="61"/>
      <c r="BB176" s="61"/>
      <c r="BC176" s="61"/>
      <c r="BD176" s="61"/>
      <c r="BE176" s="61"/>
      <c r="BF176" s="63"/>
      <c r="BG176" s="93"/>
      <c r="BH176" s="93"/>
      <c r="BI176" s="70"/>
      <c r="BJ176" s="70"/>
      <c r="BK176" s="70"/>
      <c r="BL176" s="70"/>
      <c r="BM176" s="99"/>
      <c r="BN176" s="110"/>
      <c r="BO176" s="99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66"/>
      <c r="CC176" s="66"/>
      <c r="CD176" s="66"/>
      <c r="CE176" s="66"/>
      <c r="CF176" s="66"/>
      <c r="CG176" s="66"/>
      <c r="CH176" s="66"/>
      <c r="CI176" s="86"/>
      <c r="CJ176" s="63"/>
      <c r="CK176" s="63"/>
      <c r="CL176" s="211"/>
      <c r="CM176" s="70"/>
      <c r="CN176" s="70"/>
      <c r="CO176" s="70"/>
      <c r="CP176" s="70"/>
    </row>
    <row r="177" spans="47:94" s="88" customFormat="1">
      <c r="AU177" s="91"/>
      <c r="AV177" s="70"/>
      <c r="AW177" s="61"/>
      <c r="AX177" s="63"/>
      <c r="AY177" s="63"/>
      <c r="AZ177" s="63"/>
      <c r="BA177" s="63"/>
      <c r="BB177" s="63"/>
      <c r="BC177" s="61"/>
      <c r="BD177" s="61"/>
      <c r="BE177" s="61"/>
      <c r="BF177" s="61"/>
      <c r="BG177" s="61"/>
      <c r="BH177" s="61"/>
      <c r="BI177" s="70"/>
      <c r="BJ177" s="70"/>
      <c r="BK177" s="70"/>
      <c r="BL177" s="70"/>
      <c r="BM177" s="99"/>
      <c r="BN177" s="110"/>
      <c r="BO177" s="99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7"/>
      <c r="CM177" s="70"/>
      <c r="CN177" s="70"/>
      <c r="CO177" s="70"/>
      <c r="CP177" s="70"/>
    </row>
    <row r="178" spans="47:94" s="88" customFormat="1">
      <c r="AU178" s="91"/>
      <c r="AV178" s="70"/>
      <c r="AW178" s="63"/>
      <c r="AX178" s="63"/>
      <c r="AY178" s="63"/>
      <c r="AZ178" s="63"/>
      <c r="BA178" s="63"/>
      <c r="BB178" s="63"/>
      <c r="BC178" s="63"/>
      <c r="BD178" s="63"/>
      <c r="BE178" s="63"/>
      <c r="BF178" s="61"/>
      <c r="BG178" s="61"/>
      <c r="BH178" s="61"/>
      <c r="BI178" s="70"/>
      <c r="BJ178" s="70"/>
      <c r="BK178" s="70"/>
      <c r="BL178" s="70"/>
      <c r="BM178" s="99"/>
      <c r="BN178" s="110"/>
      <c r="BO178" s="99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90"/>
      <c r="CM178" s="70"/>
      <c r="CN178" s="70"/>
      <c r="CO178" s="70"/>
      <c r="CP178" s="70"/>
    </row>
    <row r="179" spans="47:94" s="88" customFormat="1">
      <c r="AU179" s="91"/>
      <c r="AV179" s="70"/>
      <c r="AW179" s="63"/>
      <c r="AX179" s="61"/>
      <c r="AY179" s="61"/>
      <c r="AZ179" s="61"/>
      <c r="BA179" s="61"/>
      <c r="BB179" s="61"/>
      <c r="BC179" s="63"/>
      <c r="BD179" s="63"/>
      <c r="BE179" s="63"/>
      <c r="BF179" s="63"/>
      <c r="BG179" s="62"/>
      <c r="BH179" s="62"/>
      <c r="BI179" s="70"/>
      <c r="BJ179" s="70"/>
      <c r="BK179" s="70"/>
      <c r="BL179" s="70"/>
      <c r="BM179" s="99"/>
      <c r="BN179" s="110"/>
      <c r="BO179" s="99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66"/>
      <c r="CC179" s="66"/>
      <c r="CD179" s="66"/>
      <c r="CE179" s="66"/>
      <c r="CF179" s="66"/>
      <c r="CG179" s="66"/>
      <c r="CH179" s="66"/>
      <c r="CI179" s="66"/>
      <c r="CJ179" s="57"/>
      <c r="CK179" s="57"/>
      <c r="CL179" s="90"/>
      <c r="CM179" s="70"/>
      <c r="CN179" s="70"/>
      <c r="CO179" s="70"/>
      <c r="CP179" s="70"/>
    </row>
    <row r="180" spans="47:94" s="88" customFormat="1">
      <c r="AU180" s="91"/>
      <c r="AV180" s="70"/>
      <c r="AW180" s="61"/>
      <c r="AX180" s="61"/>
      <c r="AY180" s="61"/>
      <c r="AZ180" s="61"/>
      <c r="BA180" s="61"/>
      <c r="BB180" s="61"/>
      <c r="BC180" s="61"/>
      <c r="BD180" s="61"/>
      <c r="BE180" s="61"/>
      <c r="BF180" s="63"/>
      <c r="BG180" s="62"/>
      <c r="BH180" s="62"/>
      <c r="BI180" s="70"/>
      <c r="BJ180" s="70"/>
      <c r="BK180" s="70"/>
      <c r="BL180" s="70"/>
      <c r="BM180" s="99"/>
      <c r="BN180" s="110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66"/>
      <c r="CC180" s="66"/>
      <c r="CD180" s="66"/>
      <c r="CE180" s="66"/>
      <c r="CF180" s="66"/>
      <c r="CG180" s="66"/>
      <c r="CH180" s="66"/>
      <c r="CI180" s="66"/>
      <c r="CJ180" s="57"/>
      <c r="CK180" s="57"/>
      <c r="CL180" s="90"/>
      <c r="CM180" s="70"/>
      <c r="CN180" s="70"/>
      <c r="CO180" s="70"/>
      <c r="CP180" s="70"/>
    </row>
    <row r="181" spans="47:94" s="88" customFormat="1">
      <c r="AU181" s="91"/>
      <c r="AV181" s="70"/>
      <c r="AW181" s="61"/>
      <c r="AX181" s="63"/>
      <c r="AY181" s="63"/>
      <c r="AZ181" s="63"/>
      <c r="BA181" s="63"/>
      <c r="BB181" s="63"/>
      <c r="BC181" s="61"/>
      <c r="BD181" s="61"/>
      <c r="BE181" s="61"/>
      <c r="BF181" s="61"/>
      <c r="BG181" s="62"/>
      <c r="BH181" s="62"/>
      <c r="BI181" s="70"/>
      <c r="BJ181" s="70"/>
      <c r="BK181" s="70"/>
      <c r="BL181" s="70"/>
      <c r="BM181" s="99"/>
      <c r="BN181" s="110"/>
      <c r="BO181" s="70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62"/>
      <c r="CC181" s="62"/>
      <c r="CD181" s="62"/>
      <c r="CE181" s="62"/>
      <c r="CF181" s="62"/>
      <c r="CG181" s="62"/>
      <c r="CH181" s="62"/>
      <c r="CI181" s="66"/>
      <c r="CJ181" s="66"/>
      <c r="CK181" s="66"/>
      <c r="CL181" s="90"/>
      <c r="CM181" s="70"/>
      <c r="CN181" s="70"/>
      <c r="CO181" s="70"/>
      <c r="CP181" s="70"/>
    </row>
    <row r="182" spans="47:94" s="88" customFormat="1">
      <c r="AU182" s="91"/>
      <c r="AV182" s="70"/>
      <c r="AW182" s="63"/>
      <c r="AX182" s="63"/>
      <c r="AY182" s="63"/>
      <c r="AZ182" s="63"/>
      <c r="BA182" s="63"/>
      <c r="BB182" s="63"/>
      <c r="BC182" s="63"/>
      <c r="BD182" s="63"/>
      <c r="BE182" s="63"/>
      <c r="BF182" s="61"/>
      <c r="BG182" s="62"/>
      <c r="BH182" s="62"/>
      <c r="BI182" s="70"/>
      <c r="BJ182" s="70"/>
      <c r="BK182" s="70"/>
      <c r="BL182" s="70"/>
      <c r="BM182" s="70"/>
      <c r="BN182" s="111"/>
      <c r="BO182" s="70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62"/>
      <c r="CC182" s="62"/>
      <c r="CD182" s="62"/>
      <c r="CE182" s="62"/>
      <c r="CF182" s="62"/>
      <c r="CG182" s="62"/>
      <c r="CH182" s="62"/>
      <c r="CI182" s="66"/>
      <c r="CJ182" s="66"/>
      <c r="CK182" s="66"/>
      <c r="CL182" s="57"/>
      <c r="CM182" s="70"/>
      <c r="CN182" s="70"/>
      <c r="CO182" s="70"/>
      <c r="CP182" s="70"/>
    </row>
    <row r="183" spans="47:94" s="88" customFormat="1">
      <c r="AU183" s="91"/>
      <c r="AV183" s="70"/>
      <c r="AW183" s="63"/>
      <c r="AX183" s="61"/>
      <c r="AY183" s="61"/>
      <c r="AZ183" s="61"/>
      <c r="BA183" s="61"/>
      <c r="BB183" s="61"/>
      <c r="BC183" s="63"/>
      <c r="BD183" s="63"/>
      <c r="BE183" s="63"/>
      <c r="BF183" s="63"/>
      <c r="BG183" s="62"/>
      <c r="BH183" s="62"/>
      <c r="BI183" s="70"/>
      <c r="BJ183" s="70"/>
      <c r="BK183" s="70"/>
      <c r="BL183" s="70"/>
      <c r="BM183" s="70"/>
      <c r="BN183" s="111"/>
      <c r="BO183" s="70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106"/>
      <c r="CC183" s="106"/>
      <c r="CD183" s="66"/>
      <c r="CE183" s="66"/>
      <c r="CF183" s="66"/>
      <c r="CG183" s="66"/>
      <c r="CH183" s="106"/>
      <c r="CI183" s="66"/>
      <c r="CJ183" s="66"/>
      <c r="CK183" s="66"/>
      <c r="CL183" s="57"/>
      <c r="CM183" s="70"/>
      <c r="CN183" s="70"/>
      <c r="CO183" s="70"/>
      <c r="CP183" s="70"/>
    </row>
    <row r="184" spans="47:94" s="88" customFormat="1">
      <c r="AU184" s="91"/>
      <c r="AV184" s="70"/>
      <c r="AW184" s="61"/>
      <c r="AX184" s="61"/>
      <c r="AY184" s="61"/>
      <c r="AZ184" s="61"/>
      <c r="BA184" s="61"/>
      <c r="BB184" s="61"/>
      <c r="BC184" s="61"/>
      <c r="BD184" s="61"/>
      <c r="BE184" s="61"/>
      <c r="BF184" s="63"/>
      <c r="BG184" s="62"/>
      <c r="BH184" s="62"/>
      <c r="BI184" s="70"/>
      <c r="BJ184" s="70"/>
      <c r="BK184" s="70"/>
      <c r="BL184" s="70"/>
      <c r="BM184" s="70"/>
      <c r="BN184" s="111"/>
      <c r="BO184" s="70"/>
      <c r="BP184" s="99"/>
      <c r="BQ184" s="66"/>
      <c r="BR184" s="66"/>
      <c r="BS184" s="66"/>
      <c r="BT184" s="66"/>
      <c r="BU184" s="66"/>
      <c r="BV184" s="66"/>
      <c r="BW184" s="66"/>
      <c r="BX184" s="66"/>
      <c r="BY184" s="66"/>
      <c r="BZ184" s="57"/>
      <c r="CA184" s="57"/>
      <c r="CB184" s="70"/>
      <c r="CC184" s="70"/>
      <c r="CD184" s="70"/>
      <c r="CE184" s="70"/>
      <c r="CF184" s="91"/>
      <c r="CG184" s="91"/>
      <c r="CH184" s="91"/>
      <c r="CI184" s="91"/>
      <c r="CJ184" s="91"/>
      <c r="CK184" s="91"/>
      <c r="CL184" s="91"/>
      <c r="CM184" s="91"/>
      <c r="CN184" s="91"/>
    </row>
    <row r="185" spans="47:94" s="88" customFormat="1">
      <c r="AU185" s="91"/>
      <c r="AV185" s="70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70"/>
      <c r="BJ185" s="70"/>
      <c r="BK185" s="70"/>
      <c r="BL185" s="70"/>
      <c r="BM185" s="70"/>
      <c r="BN185" s="111"/>
      <c r="BO185" s="70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57"/>
      <c r="CA185" s="57"/>
      <c r="CB185" s="70"/>
      <c r="CC185" s="70"/>
      <c r="CD185" s="70"/>
      <c r="CE185" s="70"/>
      <c r="CF185" s="91"/>
      <c r="CG185" s="91"/>
      <c r="CH185" s="91"/>
      <c r="CI185" s="91"/>
      <c r="CJ185" s="91"/>
      <c r="CK185" s="91"/>
      <c r="CL185" s="91"/>
      <c r="CM185" s="91"/>
      <c r="CN185" s="91"/>
    </row>
    <row r="186" spans="47:94" s="88" customFormat="1">
      <c r="AU186" s="91"/>
      <c r="AV186" s="70"/>
      <c r="AW186" s="61"/>
      <c r="AX186" s="63"/>
      <c r="AY186" s="63"/>
      <c r="AZ186" s="63"/>
      <c r="BA186" s="63"/>
      <c r="BB186" s="63"/>
      <c r="BC186" s="61"/>
      <c r="BD186" s="61"/>
      <c r="BE186" s="61"/>
      <c r="BF186" s="61"/>
      <c r="BG186" s="61"/>
      <c r="BH186" s="61"/>
      <c r="BI186" s="70"/>
      <c r="BJ186" s="70"/>
      <c r="BK186" s="70"/>
      <c r="BL186" s="70"/>
      <c r="BM186" s="70"/>
      <c r="BN186" s="111"/>
      <c r="BO186" s="70"/>
      <c r="BP186" s="99"/>
      <c r="BQ186" s="99"/>
      <c r="BR186" s="108"/>
      <c r="BS186" s="99"/>
      <c r="BT186" s="99"/>
      <c r="BU186" s="99"/>
      <c r="BV186" s="99"/>
      <c r="BW186" s="99"/>
      <c r="BX186" s="204"/>
      <c r="BY186" s="66"/>
      <c r="BZ186" s="70"/>
      <c r="CA186" s="70"/>
      <c r="CB186" s="70"/>
      <c r="CC186" s="70"/>
      <c r="CD186" s="70"/>
      <c r="CE186" s="70"/>
      <c r="CF186" s="91"/>
      <c r="CG186" s="91"/>
      <c r="CH186" s="91"/>
      <c r="CI186" s="91"/>
      <c r="CJ186" s="91"/>
      <c r="CK186" s="91"/>
      <c r="CL186" s="91"/>
      <c r="CM186" s="91"/>
      <c r="CN186" s="91"/>
    </row>
    <row r="187" spans="47:94" s="88" customFormat="1">
      <c r="AU187" s="91"/>
      <c r="AV187" s="70"/>
      <c r="AW187" s="63"/>
      <c r="AX187" s="63"/>
      <c r="AY187" s="63"/>
      <c r="AZ187" s="63"/>
      <c r="BA187" s="63"/>
      <c r="BB187" s="63"/>
      <c r="BC187" s="63"/>
      <c r="BD187" s="63"/>
      <c r="BE187" s="63"/>
      <c r="BF187" s="61"/>
      <c r="BG187" s="61"/>
      <c r="BH187" s="61"/>
      <c r="BI187" s="70"/>
      <c r="BJ187" s="70"/>
      <c r="BK187" s="70"/>
      <c r="BL187" s="70"/>
      <c r="BM187" s="70"/>
      <c r="BN187" s="111"/>
      <c r="BO187" s="70"/>
      <c r="BP187" s="99"/>
      <c r="BQ187" s="99"/>
      <c r="BR187" s="108"/>
      <c r="BS187" s="99"/>
      <c r="BT187" s="99"/>
      <c r="BU187" s="99"/>
      <c r="BV187" s="99"/>
      <c r="BW187" s="99"/>
      <c r="BX187" s="204"/>
      <c r="BY187" s="66"/>
      <c r="BZ187" s="70"/>
      <c r="CA187" s="70"/>
      <c r="CB187" s="70"/>
      <c r="CC187" s="70"/>
      <c r="CD187" s="70"/>
      <c r="CE187" s="70"/>
      <c r="CF187" s="91"/>
      <c r="CG187" s="91"/>
      <c r="CH187" s="91"/>
      <c r="CI187" s="91"/>
      <c r="CJ187" s="91"/>
      <c r="CK187" s="91"/>
      <c r="CL187" s="91"/>
      <c r="CM187" s="91"/>
      <c r="CN187" s="91"/>
    </row>
    <row r="188" spans="47:94" s="88" customFormat="1">
      <c r="AU188" s="91"/>
      <c r="AV188" s="70"/>
      <c r="AW188" s="63"/>
      <c r="AX188" s="70"/>
      <c r="AY188" s="70"/>
      <c r="AZ188" s="70"/>
      <c r="BA188" s="70"/>
      <c r="BB188" s="70"/>
      <c r="BC188" s="63"/>
      <c r="BD188" s="63"/>
      <c r="BE188" s="63"/>
      <c r="BF188" s="63"/>
      <c r="BG188" s="63"/>
      <c r="BH188" s="63"/>
      <c r="BI188" s="70"/>
      <c r="BJ188" s="70"/>
      <c r="BK188" s="70"/>
      <c r="BL188" s="70"/>
      <c r="BM188" s="70"/>
      <c r="BN188" s="111"/>
      <c r="BO188" s="70"/>
      <c r="BP188" s="99"/>
      <c r="BQ188" s="99"/>
      <c r="BR188" s="108"/>
      <c r="BS188" s="99"/>
      <c r="BT188" s="99"/>
      <c r="BU188" s="99"/>
      <c r="BV188" s="99"/>
      <c r="BW188" s="99"/>
      <c r="BX188" s="204"/>
      <c r="BY188" s="66"/>
      <c r="BZ188" s="70"/>
      <c r="CA188" s="70"/>
      <c r="CB188" s="70"/>
      <c r="CC188" s="70"/>
      <c r="CD188" s="70"/>
      <c r="CE188" s="70"/>
      <c r="CF188" s="91"/>
      <c r="CG188" s="91"/>
      <c r="CH188" s="91"/>
      <c r="CI188" s="91"/>
      <c r="CJ188" s="91"/>
      <c r="CK188" s="91"/>
      <c r="CL188" s="91"/>
      <c r="CM188" s="91"/>
      <c r="CN188" s="91"/>
    </row>
    <row r="189" spans="47:94" s="88" customFormat="1">
      <c r="AU189" s="91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63"/>
      <c r="BG189" s="63"/>
      <c r="BH189" s="63"/>
      <c r="BI189" s="70"/>
      <c r="BJ189" s="70"/>
      <c r="BK189" s="70"/>
      <c r="BL189" s="70"/>
      <c r="BM189" s="70"/>
      <c r="BN189" s="111"/>
      <c r="BO189" s="70"/>
      <c r="BP189" s="99"/>
      <c r="BQ189" s="99"/>
      <c r="BR189" s="108"/>
      <c r="BS189" s="99"/>
      <c r="BT189" s="99"/>
      <c r="BU189" s="99"/>
      <c r="BV189" s="99"/>
      <c r="BW189" s="99"/>
      <c r="BX189" s="204"/>
      <c r="BY189" s="66"/>
      <c r="BZ189" s="70"/>
      <c r="CA189" s="70"/>
      <c r="CB189" s="70"/>
      <c r="CC189" s="70"/>
      <c r="CD189" s="70"/>
      <c r="CE189" s="70"/>
      <c r="CF189" s="91"/>
      <c r="CG189" s="91"/>
      <c r="CH189" s="91"/>
      <c r="CI189" s="91"/>
      <c r="CJ189" s="91"/>
      <c r="CK189" s="91"/>
      <c r="CL189" s="91"/>
      <c r="CM189" s="91"/>
      <c r="CN189" s="91"/>
    </row>
    <row r="190" spans="47:94" s="88" customFormat="1">
      <c r="AU190" s="91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111"/>
      <c r="BO190" s="70"/>
      <c r="BP190" s="99"/>
      <c r="BQ190" s="99"/>
      <c r="BR190" s="108"/>
      <c r="BS190" s="99"/>
      <c r="BT190" s="99"/>
      <c r="BU190" s="99"/>
      <c r="BV190" s="99"/>
      <c r="BW190" s="99"/>
      <c r="BX190" s="204"/>
      <c r="BY190" s="62"/>
      <c r="BZ190" s="66"/>
      <c r="CA190" s="70"/>
      <c r="CB190" s="70"/>
      <c r="CC190" s="70"/>
      <c r="CD190" s="70"/>
      <c r="CE190" s="70"/>
      <c r="CF190" s="91"/>
      <c r="CG190" s="91"/>
      <c r="CH190" s="91"/>
      <c r="CI190" s="91"/>
      <c r="CJ190" s="91"/>
      <c r="CK190" s="91"/>
      <c r="CL190" s="91"/>
      <c r="CM190" s="91"/>
      <c r="CN190" s="91"/>
    </row>
    <row r="191" spans="47:94" s="88" customFormat="1">
      <c r="AU191" s="91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111"/>
      <c r="BO191" s="70"/>
      <c r="BP191" s="99"/>
      <c r="BQ191" s="99"/>
      <c r="BR191" s="108"/>
      <c r="BS191" s="99"/>
      <c r="BT191" s="99"/>
      <c r="BU191" s="99"/>
      <c r="BV191" s="99"/>
      <c r="BW191" s="99"/>
      <c r="BX191" s="204"/>
      <c r="BY191" s="62"/>
      <c r="BZ191" s="66"/>
      <c r="CA191" s="70"/>
      <c r="CB191" s="70"/>
      <c r="CC191" s="70"/>
      <c r="CD191" s="70"/>
      <c r="CE191" s="70"/>
      <c r="CF191" s="91"/>
      <c r="CG191" s="91"/>
      <c r="CH191" s="91"/>
      <c r="CI191" s="91"/>
      <c r="CJ191" s="91"/>
      <c r="CK191" s="91"/>
      <c r="CL191" s="91"/>
      <c r="CM191" s="91"/>
      <c r="CN191" s="91"/>
    </row>
    <row r="192" spans="47:94" s="88" customFormat="1">
      <c r="AU192" s="91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111"/>
      <c r="BO192" s="70"/>
      <c r="BP192" s="99"/>
      <c r="BQ192" s="99"/>
      <c r="BR192" s="108"/>
      <c r="BS192" s="99"/>
      <c r="BT192" s="99"/>
      <c r="BU192" s="99"/>
      <c r="BV192" s="99"/>
      <c r="BW192" s="99"/>
      <c r="BX192" s="204"/>
      <c r="BY192" s="62"/>
      <c r="BZ192" s="66"/>
      <c r="CA192" s="70"/>
      <c r="CB192" s="70"/>
      <c r="CC192" s="70"/>
      <c r="CD192" s="70"/>
      <c r="CE192" s="70"/>
      <c r="CF192" s="91"/>
      <c r="CG192" s="91"/>
      <c r="CH192" s="91"/>
      <c r="CI192" s="91"/>
      <c r="CJ192" s="91"/>
      <c r="CK192" s="91"/>
      <c r="CL192" s="91"/>
      <c r="CM192" s="91"/>
      <c r="CN192" s="91"/>
    </row>
    <row r="193" spans="47:92" s="88" customFormat="1">
      <c r="AU193" s="91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99"/>
      <c r="BQ193" s="99"/>
      <c r="BR193" s="108"/>
      <c r="BS193" s="99"/>
      <c r="BT193" s="99"/>
      <c r="BU193" s="99"/>
      <c r="BV193" s="99"/>
      <c r="BW193" s="99"/>
      <c r="BX193" s="204"/>
      <c r="BY193" s="62"/>
      <c r="BZ193" s="66"/>
      <c r="CA193" s="70"/>
      <c r="CB193" s="70"/>
      <c r="CC193" s="70"/>
      <c r="CD193" s="70"/>
      <c r="CE193" s="70"/>
      <c r="CF193" s="91"/>
      <c r="CG193" s="91"/>
      <c r="CH193" s="91"/>
      <c r="CI193" s="91"/>
      <c r="CJ193" s="91"/>
      <c r="CK193" s="91"/>
      <c r="CL193" s="91"/>
      <c r="CM193" s="91"/>
      <c r="CN193" s="91"/>
    </row>
    <row r="194" spans="47:92" s="88" customFormat="1">
      <c r="AU194" s="91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99"/>
      <c r="BQ194" s="99"/>
      <c r="BR194" s="99"/>
      <c r="BS194" s="99"/>
      <c r="BT194" s="99"/>
      <c r="BU194" s="99"/>
      <c r="BV194" s="99"/>
      <c r="BW194" s="99"/>
      <c r="BX194" s="204"/>
      <c r="BY194" s="61"/>
      <c r="BZ194" s="61"/>
      <c r="CA194" s="66"/>
      <c r="CB194" s="70"/>
      <c r="CC194" s="70"/>
      <c r="CD194" s="70"/>
      <c r="CE194" s="70"/>
      <c r="CF194" s="91"/>
      <c r="CG194" s="91"/>
      <c r="CH194" s="91"/>
      <c r="CI194" s="91"/>
      <c r="CJ194" s="91"/>
      <c r="CK194" s="91"/>
      <c r="CL194" s="91"/>
      <c r="CM194" s="91"/>
      <c r="CN194" s="91"/>
    </row>
    <row r="195" spans="47:92" s="88" customFormat="1">
      <c r="AU195" s="91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99"/>
      <c r="BQ195" s="99"/>
      <c r="BR195" s="99"/>
      <c r="BS195" s="99"/>
      <c r="BT195" s="99"/>
      <c r="BU195" s="99"/>
      <c r="BV195" s="99"/>
      <c r="BW195" s="99"/>
      <c r="BX195" s="99"/>
      <c r="BY195" s="61"/>
      <c r="BZ195" s="61"/>
      <c r="CA195" s="66"/>
      <c r="CB195" s="70"/>
      <c r="CC195" s="70"/>
      <c r="CD195" s="70"/>
      <c r="CE195" s="70"/>
      <c r="CF195" s="91"/>
      <c r="CG195" s="91"/>
      <c r="CH195" s="91"/>
      <c r="CI195" s="91"/>
      <c r="CJ195" s="91"/>
      <c r="CK195" s="91"/>
      <c r="CL195" s="91"/>
      <c r="CM195" s="91"/>
      <c r="CN195" s="91"/>
    </row>
    <row r="196" spans="47:92" s="88" customFormat="1">
      <c r="AU196" s="91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99"/>
      <c r="BQ196" s="99"/>
      <c r="BR196" s="99"/>
      <c r="BS196" s="99"/>
      <c r="BT196" s="99"/>
      <c r="BU196" s="99"/>
      <c r="BV196" s="99"/>
      <c r="BW196" s="99"/>
      <c r="BX196" s="99"/>
      <c r="BY196" s="61"/>
      <c r="BZ196" s="61"/>
      <c r="CA196" s="66"/>
      <c r="CB196" s="70"/>
      <c r="CC196" s="70"/>
      <c r="CD196" s="70"/>
      <c r="CE196" s="70"/>
      <c r="CF196" s="91"/>
      <c r="CG196" s="91"/>
      <c r="CH196" s="91"/>
      <c r="CI196" s="91"/>
      <c r="CJ196" s="91"/>
      <c r="CK196" s="91"/>
      <c r="CL196" s="91"/>
      <c r="CM196" s="91"/>
      <c r="CN196" s="91"/>
    </row>
    <row r="197" spans="47:92" s="88" customFormat="1">
      <c r="AU197" s="91"/>
      <c r="AV197" s="91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99"/>
      <c r="BQ197" s="99"/>
      <c r="BR197" s="99"/>
      <c r="BS197" s="99"/>
      <c r="BT197" s="99"/>
      <c r="BU197" s="99"/>
      <c r="BV197" s="99"/>
      <c r="BW197" s="99"/>
      <c r="BX197" s="99"/>
      <c r="BY197" s="66"/>
      <c r="BZ197" s="66"/>
      <c r="CA197" s="66"/>
      <c r="CB197" s="70"/>
      <c r="CC197" s="70"/>
      <c r="CD197" s="70"/>
      <c r="CE197" s="70"/>
      <c r="CF197" s="91"/>
      <c r="CG197" s="91"/>
      <c r="CH197" s="91"/>
      <c r="CI197" s="91"/>
      <c r="CJ197" s="91"/>
      <c r="CK197" s="91"/>
      <c r="CL197" s="91"/>
      <c r="CM197" s="91"/>
      <c r="CN197" s="91"/>
    </row>
    <row r="198" spans="47:92" s="88" customFormat="1">
      <c r="AU198" s="91"/>
      <c r="AV198" s="91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99"/>
      <c r="BR198" s="99"/>
      <c r="BS198" s="99"/>
      <c r="BT198" s="99"/>
      <c r="BU198" s="99"/>
      <c r="BV198" s="99"/>
      <c r="BW198" s="99"/>
      <c r="BX198" s="99"/>
      <c r="BY198" s="70"/>
      <c r="BZ198" s="70"/>
      <c r="CA198" s="70"/>
      <c r="CB198" s="70"/>
      <c r="CC198" s="70"/>
      <c r="CD198" s="70"/>
      <c r="CE198" s="70"/>
      <c r="CF198" s="91"/>
      <c r="CG198" s="91"/>
      <c r="CH198" s="91"/>
      <c r="CI198" s="91"/>
      <c r="CJ198" s="91"/>
      <c r="CK198" s="91"/>
      <c r="CL198" s="91"/>
      <c r="CM198" s="91"/>
      <c r="CN198" s="91"/>
    </row>
    <row r="199" spans="47:92" s="88" customFormat="1">
      <c r="AU199" s="91"/>
      <c r="AV199" s="91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99"/>
      <c r="BR199" s="99"/>
      <c r="BS199" s="99"/>
      <c r="BT199" s="99"/>
      <c r="BU199" s="99"/>
      <c r="BV199" s="99"/>
      <c r="BW199" s="99"/>
      <c r="BX199" s="99"/>
      <c r="BY199" s="70"/>
      <c r="BZ199" s="70"/>
      <c r="CA199" s="70"/>
      <c r="CB199" s="70"/>
      <c r="CC199" s="91"/>
      <c r="CD199" s="70"/>
      <c r="CE199" s="70"/>
      <c r="CF199" s="91"/>
      <c r="CG199" s="91"/>
      <c r="CH199" s="91"/>
      <c r="CI199" s="91"/>
      <c r="CJ199" s="91"/>
      <c r="CK199" s="91"/>
      <c r="CL199" s="91"/>
      <c r="CM199" s="91"/>
      <c r="CN199" s="91"/>
    </row>
    <row r="200" spans="47:92" s="88" customFormat="1">
      <c r="AU200" s="91"/>
      <c r="AV200" s="91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99"/>
      <c r="BR200" s="99"/>
      <c r="BS200" s="99"/>
      <c r="BT200" s="99"/>
      <c r="BU200" s="99"/>
      <c r="BV200" s="99"/>
      <c r="BW200" s="99"/>
      <c r="BX200" s="99"/>
      <c r="BY200" s="70"/>
      <c r="BZ200" s="70"/>
      <c r="CA200" s="70"/>
      <c r="CB200" s="70"/>
      <c r="CC200" s="91"/>
      <c r="CD200" s="70"/>
      <c r="CE200" s="70"/>
      <c r="CF200" s="91"/>
      <c r="CG200" s="91"/>
      <c r="CH200" s="91"/>
      <c r="CI200" s="91"/>
      <c r="CJ200" s="91"/>
      <c r="CK200" s="91"/>
      <c r="CL200" s="91"/>
      <c r="CM200" s="91"/>
      <c r="CN200" s="91"/>
    </row>
    <row r="201" spans="47:92" s="88" customFormat="1">
      <c r="AU201" s="91"/>
      <c r="AV201" s="91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99"/>
      <c r="BR201" s="99"/>
      <c r="BS201" s="99"/>
      <c r="BT201" s="99"/>
      <c r="BU201" s="99"/>
      <c r="BV201" s="99"/>
      <c r="BW201" s="99"/>
      <c r="BX201" s="99"/>
      <c r="BY201" s="70"/>
      <c r="BZ201" s="70"/>
      <c r="CA201" s="70"/>
      <c r="CB201" s="70"/>
      <c r="CC201" s="91"/>
      <c r="CD201" s="70"/>
      <c r="CE201" s="70"/>
      <c r="CF201" s="91"/>
      <c r="CG201" s="91"/>
      <c r="CH201" s="91"/>
      <c r="CI201" s="91"/>
      <c r="CJ201" s="91"/>
      <c r="CK201" s="91"/>
      <c r="CL201" s="91"/>
      <c r="CM201" s="91"/>
      <c r="CN201" s="91"/>
    </row>
    <row r="202" spans="47:92" s="88" customFormat="1">
      <c r="AU202" s="91"/>
      <c r="AV202" s="91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99"/>
      <c r="BR202" s="99"/>
      <c r="BS202" s="99"/>
      <c r="BT202" s="99"/>
      <c r="BU202" s="99"/>
      <c r="BV202" s="99"/>
      <c r="BW202" s="99"/>
      <c r="BX202" s="99"/>
      <c r="BY202" s="70"/>
      <c r="BZ202" s="70"/>
      <c r="CA202" s="70"/>
      <c r="CB202" s="70"/>
      <c r="CC202" s="91"/>
      <c r="CD202" s="70"/>
      <c r="CE202" s="70"/>
      <c r="CF202" s="91"/>
      <c r="CG202" s="91"/>
      <c r="CH202" s="91"/>
      <c r="CI202" s="91"/>
      <c r="CJ202" s="91"/>
      <c r="CK202" s="91"/>
      <c r="CL202" s="91"/>
      <c r="CM202" s="91"/>
      <c r="CN202" s="91"/>
    </row>
    <row r="203" spans="47:92" s="88" customFormat="1">
      <c r="AU203" s="91"/>
      <c r="AV203" s="91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</row>
    <row r="204" spans="47:92" s="88" customFormat="1">
      <c r="AU204" s="91"/>
      <c r="AV204" s="91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</row>
    <row r="205" spans="47:92" s="88" customFormat="1">
      <c r="AU205" s="91"/>
      <c r="AV205" s="91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</row>
    <row r="206" spans="47:92" s="88" customFormat="1">
      <c r="AU206" s="91"/>
      <c r="AV206" s="91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91"/>
      <c r="BJ206" s="91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</row>
    <row r="207" spans="47:92" s="88" customFormat="1">
      <c r="AU207" s="91"/>
      <c r="AV207" s="91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91"/>
      <c r="BJ207" s="91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</row>
    <row r="208" spans="47:92" s="88" customFormat="1">
      <c r="AU208" s="91"/>
      <c r="AV208" s="91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91"/>
      <c r="BJ208" s="91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</row>
    <row r="209" spans="47:92" s="88" customFormat="1">
      <c r="AU209" s="91"/>
      <c r="AV209" s="91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91"/>
      <c r="BJ209" s="91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</row>
    <row r="210" spans="47:92" s="88" customFormat="1">
      <c r="AU210" s="91"/>
      <c r="AV210" s="91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91"/>
      <c r="BJ210" s="91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</row>
    <row r="211" spans="47:92" s="88" customFormat="1">
      <c r="AU211" s="91"/>
      <c r="AV211" s="91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91"/>
      <c r="BJ211" s="91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</row>
    <row r="212" spans="47:92" s="88" customFormat="1">
      <c r="AU212" s="91"/>
      <c r="AV212" s="91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91"/>
      <c r="BJ212" s="91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</row>
    <row r="213" spans="47:92" s="88" customFormat="1">
      <c r="AU213" s="91"/>
      <c r="AV213" s="91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91"/>
      <c r="BJ213" s="91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</row>
    <row r="214" spans="47:92" s="88" customFormat="1">
      <c r="AU214" s="91"/>
      <c r="AV214" s="91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91"/>
      <c r="BJ214" s="91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</row>
    <row r="215" spans="47:92" s="88" customFormat="1">
      <c r="AU215" s="91"/>
      <c r="AV215" s="91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91"/>
      <c r="BJ215" s="91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</row>
    <row r="216" spans="47:92" s="88" customFormat="1">
      <c r="AU216" s="91"/>
      <c r="AV216" s="91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91"/>
      <c r="BJ216" s="91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</row>
    <row r="217" spans="47:92" s="88" customFormat="1">
      <c r="AU217" s="91"/>
      <c r="AV217" s="91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91"/>
      <c r="BJ217" s="91"/>
      <c r="BK217" s="91"/>
      <c r="BL217" s="91"/>
      <c r="BM217" s="91"/>
      <c r="BN217" s="91"/>
      <c r="BO217" s="91"/>
      <c r="BP217" s="91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</row>
    <row r="218" spans="47:92" s="88" customFormat="1">
      <c r="AU218" s="91"/>
      <c r="AV218" s="91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91"/>
      <c r="BJ218" s="91"/>
      <c r="BK218" s="91"/>
      <c r="BL218" s="91"/>
      <c r="BM218" s="91"/>
      <c r="BN218" s="91"/>
      <c r="BO218" s="91"/>
      <c r="BP218" s="91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</row>
    <row r="219" spans="47:92" s="88" customFormat="1">
      <c r="AU219" s="91"/>
      <c r="AV219" s="91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91"/>
      <c r="BJ219" s="91"/>
      <c r="BK219" s="91"/>
      <c r="BL219" s="91"/>
      <c r="BM219" s="91"/>
      <c r="BN219" s="91"/>
      <c r="BO219" s="91"/>
      <c r="BP219" s="91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</row>
    <row r="220" spans="47:92" s="88" customFormat="1">
      <c r="AU220" s="91"/>
      <c r="AV220" s="91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91"/>
      <c r="BJ220" s="91"/>
      <c r="BK220" s="91"/>
      <c r="BL220" s="91"/>
      <c r="BM220" s="91"/>
      <c r="BN220" s="91"/>
      <c r="BO220" s="91"/>
      <c r="BP220" s="91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</row>
    <row r="221" spans="47:92" s="88" customFormat="1">
      <c r="AU221" s="91"/>
      <c r="AV221" s="91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91"/>
      <c r="BJ221" s="91"/>
      <c r="BK221" s="91"/>
      <c r="BL221" s="91"/>
      <c r="BM221" s="91"/>
      <c r="BN221" s="91"/>
      <c r="BO221" s="91"/>
      <c r="BP221" s="91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</row>
    <row r="222" spans="47:92" s="88" customFormat="1">
      <c r="AU222" s="91"/>
      <c r="AV222" s="91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91"/>
      <c r="BJ222" s="91"/>
      <c r="BK222" s="91"/>
      <c r="BL222" s="91"/>
      <c r="BM222" s="91"/>
      <c r="BN222" s="91"/>
      <c r="BO222" s="91"/>
      <c r="BP222" s="91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91"/>
      <c r="CC222" s="91"/>
      <c r="CD222" s="91"/>
      <c r="CE222" s="91"/>
    </row>
    <row r="223" spans="47:92" s="88" customFormat="1">
      <c r="AU223" s="91"/>
      <c r="AV223" s="91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91"/>
      <c r="BJ223" s="91"/>
      <c r="BK223" s="91"/>
      <c r="BL223" s="91"/>
      <c r="BM223" s="91"/>
      <c r="BN223" s="91"/>
      <c r="BO223" s="91"/>
      <c r="BP223" s="91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91"/>
      <c r="CC223" s="91"/>
      <c r="CD223" s="91"/>
      <c r="CE223" s="91"/>
    </row>
    <row r="224" spans="47:92" s="88" customFormat="1">
      <c r="AU224" s="91"/>
      <c r="AV224" s="91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91"/>
      <c r="BJ224" s="91"/>
      <c r="BK224" s="91"/>
      <c r="BL224" s="91"/>
      <c r="BM224" s="91"/>
      <c r="BN224" s="91"/>
      <c r="BO224" s="91"/>
      <c r="BP224" s="91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91"/>
      <c r="CC224" s="91"/>
      <c r="CD224" s="91"/>
      <c r="CE224" s="91"/>
    </row>
    <row r="225" spans="2:83" s="88" customFormat="1">
      <c r="AU225" s="91"/>
      <c r="AV225" s="91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91"/>
      <c r="BJ225" s="91"/>
      <c r="BK225" s="91"/>
      <c r="BL225" s="91"/>
      <c r="BM225" s="91"/>
      <c r="BN225" s="91"/>
      <c r="BO225" s="91"/>
      <c r="BP225" s="91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91"/>
      <c r="CC225" s="91"/>
      <c r="CD225" s="91"/>
      <c r="CE225" s="91"/>
    </row>
    <row r="226" spans="2:83" s="88" customFormat="1">
      <c r="M226" s="91"/>
      <c r="AU226" s="91"/>
      <c r="AV226" s="91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91"/>
      <c r="BJ226" s="91"/>
      <c r="BK226" s="91"/>
      <c r="BL226" s="91"/>
      <c r="BM226" s="91"/>
      <c r="BN226" s="91"/>
      <c r="BO226" s="91"/>
      <c r="BP226" s="91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91"/>
      <c r="CC226" s="91"/>
      <c r="CD226" s="91"/>
      <c r="CE226" s="91"/>
    </row>
    <row r="227" spans="2:83" s="88" customFormat="1">
      <c r="AU227" s="91"/>
      <c r="AV227" s="91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91"/>
      <c r="BJ227" s="91"/>
      <c r="BK227" s="91"/>
      <c r="BL227" s="91"/>
      <c r="BM227" s="91"/>
      <c r="BN227" s="91"/>
      <c r="BO227" s="91"/>
      <c r="BP227" s="91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91"/>
      <c r="CC227" s="91"/>
      <c r="CD227" s="91"/>
      <c r="CE227" s="91"/>
    </row>
    <row r="228" spans="2:83" s="88" customFormat="1">
      <c r="AU228" s="91"/>
      <c r="AV228" s="91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91"/>
      <c r="BJ228" s="91"/>
      <c r="BK228" s="91"/>
      <c r="BL228" s="91"/>
      <c r="BM228" s="91"/>
      <c r="BN228" s="91"/>
      <c r="BO228" s="91"/>
      <c r="BP228" s="91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91"/>
      <c r="CC228" s="91"/>
      <c r="CD228" s="91"/>
      <c r="CE228" s="91"/>
    </row>
    <row r="229" spans="2:83" s="88" customFormat="1">
      <c r="AU229" s="91"/>
      <c r="AV229" s="91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91"/>
      <c r="BJ229" s="91"/>
      <c r="BK229" s="91"/>
      <c r="BL229" s="91"/>
      <c r="BM229" s="91"/>
      <c r="BN229" s="91"/>
      <c r="BO229" s="91"/>
      <c r="BP229" s="91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91"/>
      <c r="CC229" s="91"/>
      <c r="CD229" s="91"/>
      <c r="CE229" s="91"/>
    </row>
    <row r="230" spans="2:83" s="88" customFormat="1">
      <c r="AU230" s="91"/>
      <c r="AV230" s="91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91"/>
      <c r="BJ230" s="91"/>
      <c r="BK230" s="91"/>
      <c r="BL230" s="91"/>
      <c r="BM230" s="91"/>
      <c r="BN230" s="91"/>
      <c r="BO230" s="91"/>
      <c r="BP230" s="91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91"/>
      <c r="CC230" s="91"/>
      <c r="CD230" s="91"/>
      <c r="CE230" s="91"/>
    </row>
    <row r="231" spans="2:83" s="88" customFormat="1">
      <c r="AU231" s="91"/>
      <c r="AV231" s="91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91"/>
      <c r="BJ231" s="91"/>
      <c r="BK231" s="91"/>
      <c r="BL231" s="91"/>
      <c r="BM231" s="91"/>
      <c r="BN231" s="91"/>
      <c r="BO231" s="91"/>
      <c r="BP231" s="91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91"/>
      <c r="CC231" s="91"/>
      <c r="CD231" s="91"/>
      <c r="CE231" s="91"/>
    </row>
    <row r="232" spans="2:83" s="88" customFormat="1">
      <c r="AU232" s="91"/>
      <c r="AV232" s="91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91"/>
      <c r="BJ232" s="91"/>
      <c r="BK232" s="91"/>
      <c r="BL232" s="91"/>
      <c r="BM232" s="91"/>
      <c r="BN232" s="91"/>
      <c r="BO232" s="91"/>
      <c r="BP232" s="91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91"/>
      <c r="CC232" s="91"/>
      <c r="CD232" s="91"/>
      <c r="CE232" s="91"/>
    </row>
    <row r="233" spans="2:83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91"/>
      <c r="T233" s="91"/>
      <c r="U233" s="91"/>
      <c r="V233" s="91"/>
      <c r="W233" s="91"/>
      <c r="X233" s="91"/>
      <c r="Y233" s="91"/>
      <c r="Z233" s="91"/>
      <c r="AA233" s="91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U233" s="91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</row>
    <row r="234" spans="2:83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U234" s="91"/>
      <c r="AW234" s="70"/>
      <c r="BC234" s="70"/>
      <c r="BD234" s="70"/>
      <c r="BE234" s="70"/>
      <c r="BF234" s="70"/>
      <c r="BG234" s="70"/>
      <c r="BH234" s="70"/>
    </row>
    <row r="235" spans="2:83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U235" s="91"/>
      <c r="BF235" s="70"/>
      <c r="BG235" s="70"/>
      <c r="BH235" s="70"/>
    </row>
    <row r="236" spans="2:83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91"/>
      <c r="Q236" s="91"/>
      <c r="R236" s="91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U236" s="91"/>
    </row>
    <row r="237" spans="2:83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U237" s="91"/>
    </row>
    <row r="238" spans="2:83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U238" s="91"/>
    </row>
    <row r="239" spans="2:83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U239" s="91"/>
    </row>
    <row r="240" spans="2:83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U240" s="91"/>
    </row>
    <row r="241" spans="2:47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U241" s="91"/>
    </row>
    <row r="242" spans="2:47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U242" s="91"/>
    </row>
    <row r="243" spans="2:47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U243" s="91"/>
    </row>
    <row r="244" spans="2:47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U244" s="91"/>
    </row>
    <row r="245" spans="2:47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U245" s="91"/>
    </row>
    <row r="246" spans="2:47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U246" s="91"/>
    </row>
    <row r="247" spans="2:47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U247" s="91"/>
    </row>
    <row r="248" spans="2:47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U248" s="91"/>
    </row>
    <row r="249" spans="2:47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U249" s="91"/>
    </row>
    <row r="250" spans="2:47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91"/>
      <c r="O250" s="91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U250" s="91"/>
    </row>
    <row r="251" spans="2:47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U251" s="91"/>
    </row>
    <row r="252" spans="2:47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U252" s="91"/>
    </row>
    <row r="253" spans="2:47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U253" s="91"/>
    </row>
    <row r="254" spans="2:47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U254" s="91"/>
    </row>
    <row r="255" spans="2:47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U255" s="91"/>
    </row>
    <row r="256" spans="2:47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U256" s="91"/>
    </row>
    <row r="257" spans="2:47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U257" s="91"/>
    </row>
    <row r="258" spans="2:47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U258" s="91"/>
    </row>
    <row r="259" spans="2:47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U259" s="91"/>
    </row>
    <row r="260" spans="2:47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U260" s="91"/>
    </row>
    <row r="261" spans="2:47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U261" s="91"/>
    </row>
    <row r="262" spans="2:47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U262" s="91"/>
    </row>
    <row r="263" spans="2:47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U263" s="91"/>
    </row>
    <row r="264" spans="2:47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U264" s="91"/>
    </row>
    <row r="265" spans="2:47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U265" s="91"/>
    </row>
    <row r="266" spans="2:47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U266" s="91"/>
    </row>
    <row r="267" spans="2:47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U267" s="91"/>
    </row>
    <row r="268" spans="2:47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U268" s="91"/>
    </row>
    <row r="269" spans="2:47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U269" s="91"/>
    </row>
    <row r="270" spans="2:47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U270" s="91"/>
    </row>
    <row r="271" spans="2:47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U271" s="91"/>
    </row>
    <row r="272" spans="2:47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U272" s="91"/>
    </row>
    <row r="273" spans="2:47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U273" s="91"/>
    </row>
    <row r="274" spans="2:47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U274" s="91"/>
    </row>
    <row r="275" spans="2:47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U275" s="91"/>
    </row>
    <row r="276" spans="2:47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U276" s="91"/>
    </row>
    <row r="277" spans="2:47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U277" s="91"/>
    </row>
    <row r="278" spans="2:47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U278" s="91"/>
    </row>
    <row r="279" spans="2:47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U279" s="91"/>
    </row>
    <row r="280" spans="2:47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U280" s="91"/>
    </row>
    <row r="281" spans="2:47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U281" s="91"/>
    </row>
    <row r="282" spans="2:47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U282" s="91"/>
    </row>
    <row r="283" spans="2:47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U283" s="91"/>
    </row>
    <row r="284" spans="2:47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U284" s="91"/>
    </row>
    <row r="285" spans="2:47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U285" s="91"/>
    </row>
    <row r="286" spans="2:47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U286" s="91"/>
    </row>
    <row r="287" spans="2:47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U287" s="91"/>
    </row>
    <row r="288" spans="2:47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U288" s="91"/>
    </row>
    <row r="289" spans="2:47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U289" s="91"/>
    </row>
    <row r="290" spans="2:47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U290" s="91"/>
    </row>
    <row r="291" spans="2:47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U291" s="91"/>
    </row>
    <row r="292" spans="2:47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U292" s="91"/>
    </row>
    <row r="293" spans="2:47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U293" s="91"/>
    </row>
    <row r="294" spans="2:47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U294" s="91"/>
    </row>
    <row r="295" spans="2:47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U295" s="91"/>
    </row>
    <row r="296" spans="2:47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U296" s="91"/>
    </row>
    <row r="297" spans="2:47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U297" s="91"/>
    </row>
    <row r="298" spans="2:47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U298" s="91"/>
    </row>
    <row r="299" spans="2:47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U299" s="91"/>
    </row>
    <row r="300" spans="2:47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U300" s="91"/>
    </row>
    <row r="301" spans="2:47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U301" s="91"/>
    </row>
    <row r="302" spans="2:47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U302" s="91"/>
    </row>
    <row r="303" spans="2:47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U303" s="91"/>
    </row>
    <row r="304" spans="2:47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U304" s="91"/>
    </row>
    <row r="305" spans="2:47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U305" s="91"/>
    </row>
    <row r="306" spans="2:47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U306" s="91"/>
    </row>
    <row r="307" spans="2:47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U307" s="91"/>
    </row>
    <row r="308" spans="2:47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U308" s="91"/>
    </row>
    <row r="309" spans="2:47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U309" s="91"/>
    </row>
    <row r="310" spans="2:47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U310" s="91"/>
    </row>
    <row r="311" spans="2:47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U311" s="91"/>
    </row>
    <row r="312" spans="2:47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U312" s="91"/>
    </row>
    <row r="313" spans="2:47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U313" s="91"/>
    </row>
    <row r="314" spans="2:47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U314" s="91"/>
    </row>
    <row r="315" spans="2:47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U315" s="91"/>
    </row>
    <row r="316" spans="2:47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U316" s="91"/>
    </row>
    <row r="317" spans="2:47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</row>
    <row r="318" spans="2:47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</row>
    <row r="319" spans="2:47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</row>
    <row r="320" spans="2:47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</row>
    <row r="321" spans="2:30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</row>
    <row r="322" spans="2:30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</row>
    <row r="323" spans="2:30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D323" s="88"/>
    </row>
    <row r="324" spans="2:30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</row>
    <row r="325" spans="2:30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</row>
    <row r="326" spans="2:30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</row>
    <row r="327" spans="2:30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</row>
    <row r="328" spans="2:30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</row>
    <row r="329" spans="2:30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</row>
    <row r="330" spans="2:30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</row>
    <row r="331" spans="2:30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</row>
    <row r="332" spans="2:30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</row>
    <row r="333" spans="2:30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</row>
    <row r="334" spans="2:30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</row>
    <row r="335" spans="2:30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</row>
    <row r="336" spans="2:30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</row>
    <row r="337" spans="2:15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</row>
    <row r="338" spans="2:15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</row>
    <row r="339" spans="2:15">
      <c r="N339" s="88"/>
      <c r="O339" s="88"/>
    </row>
  </sheetData>
  <sheetProtection password="C040" sheet="1" objects="1" scenarios="1"/>
  <mergeCells count="1161">
    <mergeCell ref="AL75:AL76"/>
    <mergeCell ref="AM75:AM76"/>
    <mergeCell ref="AN75:AN76"/>
    <mergeCell ref="AO75:AO76"/>
    <mergeCell ref="AP75:AP76"/>
    <mergeCell ref="AQ75:AQ76"/>
    <mergeCell ref="AD69:AD70"/>
    <mergeCell ref="AL63:AL64"/>
    <mergeCell ref="AM63:AM64"/>
    <mergeCell ref="AN63:AN64"/>
    <mergeCell ref="AO63:AO64"/>
    <mergeCell ref="AI57:AI58"/>
    <mergeCell ref="AP83:AP84"/>
    <mergeCell ref="AQ83:AQ84"/>
    <mergeCell ref="B75:K75"/>
    <mergeCell ref="B65:L67"/>
    <mergeCell ref="H57:I59"/>
    <mergeCell ref="AD83:AD84"/>
    <mergeCell ref="AE83:AE84"/>
    <mergeCell ref="AF83:AF84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E71:AE72"/>
    <mergeCell ref="AD73:AD74"/>
    <mergeCell ref="AE75:AE76"/>
    <mergeCell ref="AF75:AF76"/>
    <mergeCell ref="AG75:AG76"/>
    <mergeCell ref="AH75:AH76"/>
    <mergeCell ref="AI75:AI76"/>
    <mergeCell ref="AJ75:AJ76"/>
    <mergeCell ref="AD1:AH1"/>
    <mergeCell ref="AO71:AO72"/>
    <mergeCell ref="AP71:AP72"/>
    <mergeCell ref="AQ71:AQ72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L61:AL62"/>
    <mergeCell ref="AM61:AM62"/>
    <mergeCell ref="AN61:AN62"/>
    <mergeCell ref="AO65:AO66"/>
    <mergeCell ref="AD71:AD72"/>
    <mergeCell ref="AF67:AF68"/>
    <mergeCell ref="AG67:AG68"/>
    <mergeCell ref="AH67:AH68"/>
    <mergeCell ref="AJ57:AJ58"/>
    <mergeCell ref="AE29:AE30"/>
    <mergeCell ref="AF29:AF30"/>
    <mergeCell ref="AG29:AG30"/>
    <mergeCell ref="AH29:AH30"/>
    <mergeCell ref="AI29:AI30"/>
    <mergeCell ref="AJ29:AJ30"/>
    <mergeCell ref="AJ47:AJ48"/>
    <mergeCell ref="AF71:AF72"/>
    <mergeCell ref="AG71:AG72"/>
    <mergeCell ref="AH71:AH72"/>
    <mergeCell ref="AI71:AI72"/>
    <mergeCell ref="AJ71:AJ72"/>
    <mergeCell ref="AE69:AE70"/>
    <mergeCell ref="AF65:AF66"/>
    <mergeCell ref="AG65:AG66"/>
    <mergeCell ref="AH65:AH66"/>
    <mergeCell ref="AI65:AI66"/>
    <mergeCell ref="AJ65:AJ66"/>
    <mergeCell ref="AH51:AH52"/>
    <mergeCell ref="AI51:AI52"/>
    <mergeCell ref="AJ51:AJ52"/>
    <mergeCell ref="AE35:AE36"/>
    <mergeCell ref="AH43:AH44"/>
    <mergeCell ref="AI43:AI44"/>
    <mergeCell ref="AJ43:AJ44"/>
    <mergeCell ref="AI35:AI36"/>
    <mergeCell ref="AJ35:AJ36"/>
    <mergeCell ref="AD65:AD66"/>
    <mergeCell ref="AD67:AD68"/>
    <mergeCell ref="AG69:AG70"/>
    <mergeCell ref="AH69:AH70"/>
    <mergeCell ref="AQ63:AQ64"/>
    <mergeCell ref="AL59:AL60"/>
    <mergeCell ref="AP35:AP36"/>
    <mergeCell ref="AQ35:AQ36"/>
    <mergeCell ref="AQ67:AQ68"/>
    <mergeCell ref="AQ47:AQ48"/>
    <mergeCell ref="AP65:AP66"/>
    <mergeCell ref="AQ65:AQ66"/>
    <mergeCell ref="AE65:AE66"/>
    <mergeCell ref="AE63:AE64"/>
    <mergeCell ref="AF63:AF64"/>
    <mergeCell ref="AG63:AG64"/>
    <mergeCell ref="AH63:AH64"/>
    <mergeCell ref="AK57:AK58"/>
    <mergeCell ref="AP63:AP64"/>
    <mergeCell ref="AJ61:AJ62"/>
    <mergeCell ref="AI63:AI64"/>
    <mergeCell ref="AJ63:AJ64"/>
    <mergeCell ref="AI69:AI70"/>
    <mergeCell ref="AJ69:AJ70"/>
    <mergeCell ref="AK69:AK70"/>
    <mergeCell ref="AL69:AL70"/>
    <mergeCell ref="AM69:AM70"/>
    <mergeCell ref="AN69:AN70"/>
    <mergeCell ref="AP49:AP50"/>
    <mergeCell ref="AJ67:AJ68"/>
    <mergeCell ref="AK67:AK68"/>
    <mergeCell ref="AD61:AD62"/>
    <mergeCell ref="AL35:AL36"/>
    <mergeCell ref="AM35:AM36"/>
    <mergeCell ref="AN35:AN36"/>
    <mergeCell ref="AO35:AO36"/>
    <mergeCell ref="AE33:AE34"/>
    <mergeCell ref="AG43:AG44"/>
    <mergeCell ref="AO49:AO50"/>
    <mergeCell ref="AF35:AF36"/>
    <mergeCell ref="AO37:AO38"/>
    <mergeCell ref="AK61:AK62"/>
    <mergeCell ref="AN53:AN54"/>
    <mergeCell ref="AO53:AO54"/>
    <mergeCell ref="AN49:AN50"/>
    <mergeCell ref="AI31:AI32"/>
    <mergeCell ref="AJ31:AJ32"/>
    <mergeCell ref="AI33:AI34"/>
    <mergeCell ref="AH31:AH32"/>
    <mergeCell ref="AH41:AH42"/>
    <mergeCell ref="AF33:AF34"/>
    <mergeCell ref="AG33:AG34"/>
    <mergeCell ref="AH33:AH34"/>
    <mergeCell ref="AL47:AL48"/>
    <mergeCell ref="AM47:AM48"/>
    <mergeCell ref="AN47:AN48"/>
    <mergeCell ref="AO47:AO48"/>
    <mergeCell ref="AL57:AL58"/>
    <mergeCell ref="AM57:AM58"/>
    <mergeCell ref="AO61:AO62"/>
    <mergeCell ref="O51:S51"/>
    <mergeCell ref="H55:I55"/>
    <mergeCell ref="B57:F59"/>
    <mergeCell ref="AE25:AE26"/>
    <mergeCell ref="AF25:AF26"/>
    <mergeCell ref="AG25:AG26"/>
    <mergeCell ref="AH25:AH26"/>
    <mergeCell ref="AI25:AI26"/>
    <mergeCell ref="J51:K51"/>
    <mergeCell ref="B31:F31"/>
    <mergeCell ref="C33:F33"/>
    <mergeCell ref="H51:I51"/>
    <mergeCell ref="C51:F51"/>
    <mergeCell ref="R55:AB55"/>
    <mergeCell ref="C53:F53"/>
    <mergeCell ref="AE27:AE28"/>
    <mergeCell ref="AF27:AF28"/>
    <mergeCell ref="AG35:AG36"/>
    <mergeCell ref="AH35:AH36"/>
    <mergeCell ref="B25:F25"/>
    <mergeCell ref="AJ27:AJ28"/>
    <mergeCell ref="AK29:AK30"/>
    <mergeCell ref="AG27:AG28"/>
    <mergeCell ref="AH27:AH28"/>
    <mergeCell ref="AI27:AI28"/>
    <mergeCell ref="AE61:AE62"/>
    <mergeCell ref="AE59:AE60"/>
    <mergeCell ref="AF59:AF60"/>
    <mergeCell ref="AK35:AK36"/>
    <mergeCell ref="AQ49:AQ50"/>
    <mergeCell ref="AP53:AP54"/>
    <mergeCell ref="AO59:AO60"/>
    <mergeCell ref="AP59:AP60"/>
    <mergeCell ref="AF57:AF58"/>
    <mergeCell ref="AG57:AG58"/>
    <mergeCell ref="AH57:AH58"/>
    <mergeCell ref="AE37:AE38"/>
    <mergeCell ref="AF37:AF38"/>
    <mergeCell ref="AG37:AG38"/>
    <mergeCell ref="AH37:AH38"/>
    <mergeCell ref="AI37:AI38"/>
    <mergeCell ref="AJ37:AJ38"/>
    <mergeCell ref="AK37:AK38"/>
    <mergeCell ref="AE43:AE44"/>
    <mergeCell ref="AF43:AF44"/>
    <mergeCell ref="AE39:AE40"/>
    <mergeCell ref="AF39:AF40"/>
    <mergeCell ref="AG39:AG40"/>
    <mergeCell ref="AH39:AH40"/>
    <mergeCell ref="AI39:AI40"/>
    <mergeCell ref="AJ39:AJ40"/>
    <mergeCell ref="AK39:AK40"/>
    <mergeCell ref="AN41:AN42"/>
    <mergeCell ref="AO41:AO42"/>
    <mergeCell ref="AP41:AP42"/>
    <mergeCell ref="AH47:AH48"/>
    <mergeCell ref="AI47:AI48"/>
    <mergeCell ref="AI45:AI46"/>
    <mergeCell ref="AJ45:AJ46"/>
    <mergeCell ref="AK45:AK46"/>
    <mergeCell ref="AG41:AG42"/>
    <mergeCell ref="AI7:AI8"/>
    <mergeCell ref="AK17:AK18"/>
    <mergeCell ref="AL17:AL18"/>
    <mergeCell ref="AM17:AM18"/>
    <mergeCell ref="AQ17:AQ18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F19:AF20"/>
    <mergeCell ref="AN19:AN20"/>
    <mergeCell ref="AO19:AO20"/>
    <mergeCell ref="AP19:AP20"/>
    <mergeCell ref="AM21:AM22"/>
    <mergeCell ref="AN17:AN18"/>
    <mergeCell ref="AH9:AH10"/>
    <mergeCell ref="AI9:AI10"/>
    <mergeCell ref="AJ9:AJ10"/>
    <mergeCell ref="AK9:AK10"/>
    <mergeCell ref="AL9:AL10"/>
    <mergeCell ref="AM9:AM10"/>
    <mergeCell ref="AH11:AH12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E13:AE14"/>
    <mergeCell ref="AF13:AF14"/>
    <mergeCell ref="AG13:AG14"/>
    <mergeCell ref="AH13:AH14"/>
    <mergeCell ref="AI13:AI14"/>
    <mergeCell ref="AJ13:AJ14"/>
    <mergeCell ref="AF9:AF10"/>
    <mergeCell ref="AG9:AG10"/>
    <mergeCell ref="AS9:AS10"/>
    <mergeCell ref="AS11:AS12"/>
    <mergeCell ref="AS13:AS14"/>
    <mergeCell ref="AR39:AR40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R37:AR38"/>
    <mergeCell ref="AS41:AS42"/>
    <mergeCell ref="AS43:AS44"/>
    <mergeCell ref="AM7:AM8"/>
    <mergeCell ref="AN7:AN8"/>
    <mergeCell ref="AO7:AO8"/>
    <mergeCell ref="AP7:AP8"/>
    <mergeCell ref="AQ7:AQ8"/>
    <mergeCell ref="AO15:AO16"/>
    <mergeCell ref="AO17:AO18"/>
    <mergeCell ref="AP61:AP62"/>
    <mergeCell ref="AS7:AS8"/>
    <mergeCell ref="AR7:AR8"/>
    <mergeCell ref="AR9:AR10"/>
    <mergeCell ref="BQ157:BR157"/>
    <mergeCell ref="AD41:AD42"/>
    <mergeCell ref="AD43:AD44"/>
    <mergeCell ref="AD45:AD46"/>
    <mergeCell ref="AD47:AD48"/>
    <mergeCell ref="AD49:AD50"/>
    <mergeCell ref="AD51:AD52"/>
    <mergeCell ref="AD53:AD54"/>
    <mergeCell ref="AD55:AD56"/>
    <mergeCell ref="AD57:AD58"/>
    <mergeCell ref="AQ31:AQ32"/>
    <mergeCell ref="AN45:AN46"/>
    <mergeCell ref="AO45:AO46"/>
    <mergeCell ref="AP45:AP46"/>
    <mergeCell ref="AQ45:AQ46"/>
    <mergeCell ref="AE31:AE32"/>
    <mergeCell ref="AF31:AF32"/>
    <mergeCell ref="AG31:AG32"/>
    <mergeCell ref="BL138:BL140"/>
    <mergeCell ref="BM134:BM136"/>
    <mergeCell ref="BN134:BN136"/>
    <mergeCell ref="BC75:BC76"/>
    <mergeCell ref="BD75:BD76"/>
    <mergeCell ref="AR71:AR72"/>
    <mergeCell ref="AO33:AO34"/>
    <mergeCell ref="AP33:AP34"/>
    <mergeCell ref="AQ33:AQ34"/>
    <mergeCell ref="AJ33:AJ34"/>
    <mergeCell ref="BS133:BS134"/>
    <mergeCell ref="BT133:BU134"/>
    <mergeCell ref="BV133:BW134"/>
    <mergeCell ref="BX133:BY134"/>
    <mergeCell ref="BZ134:BZ135"/>
    <mergeCell ref="AD23:AD24"/>
    <mergeCell ref="AD25:AD26"/>
    <mergeCell ref="AD27:AD28"/>
    <mergeCell ref="AD29:AD30"/>
    <mergeCell ref="AD31:AD32"/>
    <mergeCell ref="AD33:AD34"/>
    <mergeCell ref="AD35:AD36"/>
    <mergeCell ref="AD37:AD38"/>
    <mergeCell ref="AD39:AD40"/>
    <mergeCell ref="BO77:BO78"/>
    <mergeCell ref="AD63:AD64"/>
    <mergeCell ref="AD59:AD60"/>
    <mergeCell ref="BQ129:BY130"/>
    <mergeCell ref="BQ101:BQ103"/>
    <mergeCell ref="BU91:BV93"/>
    <mergeCell ref="AQ57:AQ58"/>
    <mergeCell ref="AQ53:AQ54"/>
    <mergeCell ref="AQ59:AQ60"/>
    <mergeCell ref="AL37:AL38"/>
    <mergeCell ref="AM37:AM38"/>
    <mergeCell ref="AH49:AH50"/>
    <mergeCell ref="AI49:AI50"/>
    <mergeCell ref="AJ49:AJ50"/>
    <mergeCell ref="AK49:AK50"/>
    <mergeCell ref="AN57:AN58"/>
    <mergeCell ref="AL33:AL34"/>
    <mergeCell ref="AM33:AM34"/>
    <mergeCell ref="BQ144:BY144"/>
    <mergeCell ref="BQ145:BQ147"/>
    <mergeCell ref="BR145:BR147"/>
    <mergeCell ref="BS145:BS147"/>
    <mergeCell ref="BT145:BT147"/>
    <mergeCell ref="BY103:BZ104"/>
    <mergeCell ref="BY105:BZ106"/>
    <mergeCell ref="BQ137:BY138"/>
    <mergeCell ref="BQ139:BQ141"/>
    <mergeCell ref="BR139:BS141"/>
    <mergeCell ref="BT139:BT141"/>
    <mergeCell ref="BZ7:BZ9"/>
    <mergeCell ref="BO138:BO140"/>
    <mergeCell ref="BO142:BO144"/>
    <mergeCell ref="BQ75:BY76"/>
    <mergeCell ref="BU139:BV141"/>
    <mergeCell ref="BW139:BY143"/>
    <mergeCell ref="BQ142:BQ143"/>
    <mergeCell ref="BR142:BS143"/>
    <mergeCell ref="BT135:BU136"/>
    <mergeCell ref="BV135:BW136"/>
    <mergeCell ref="BX135:BY136"/>
    <mergeCell ref="BW54:BW55"/>
    <mergeCell ref="BQ24:BQ27"/>
    <mergeCell ref="BR24:BR27"/>
    <mergeCell ref="BX114:BY114"/>
    <mergeCell ref="BQ6:BY7"/>
    <mergeCell ref="BZ4:CA6"/>
    <mergeCell ref="BQ14:BX15"/>
    <mergeCell ref="CA132:CA133"/>
    <mergeCell ref="BQ133:BQ134"/>
    <mergeCell ref="BR133:BR134"/>
    <mergeCell ref="BU148:BV149"/>
    <mergeCell ref="BW148:BW149"/>
    <mergeCell ref="BY149:BZ150"/>
    <mergeCell ref="CA149:CA150"/>
    <mergeCell ref="BQ150:BR154"/>
    <mergeCell ref="BS150:BS152"/>
    <mergeCell ref="BT150:BU152"/>
    <mergeCell ref="BY153:BZ154"/>
    <mergeCell ref="BV150:BW152"/>
    <mergeCell ref="BY151:CA152"/>
    <mergeCell ref="BX145:BX156"/>
    <mergeCell ref="CA153:CA154"/>
    <mergeCell ref="BY155:BZ156"/>
    <mergeCell ref="CA155:CA156"/>
    <mergeCell ref="BQ156:BR156"/>
    <mergeCell ref="BY145:CA146"/>
    <mergeCell ref="BY147:BZ148"/>
    <mergeCell ref="CA147:CA148"/>
    <mergeCell ref="BQ148:BQ149"/>
    <mergeCell ref="CA134:CA135"/>
    <mergeCell ref="BQ135:BQ136"/>
    <mergeCell ref="BR135:BR136"/>
    <mergeCell ref="BS135:BS136"/>
    <mergeCell ref="BZ129:CA131"/>
    <mergeCell ref="BQ131:BY132"/>
    <mergeCell ref="BZ132:BZ133"/>
    <mergeCell ref="BY101:BZ102"/>
    <mergeCell ref="BT96:BU98"/>
    <mergeCell ref="BS96:BS98"/>
    <mergeCell ref="CA101:CA102"/>
    <mergeCell ref="BX115:BY115"/>
    <mergeCell ref="CA103:CA104"/>
    <mergeCell ref="CA105:CA106"/>
    <mergeCell ref="BX91:BX110"/>
    <mergeCell ref="BY91:CA92"/>
    <mergeCell ref="BY93:BZ94"/>
    <mergeCell ref="CA93:CA94"/>
    <mergeCell ref="BY95:BZ96"/>
    <mergeCell ref="CA95:CA96"/>
    <mergeCell ref="BY99:BZ100"/>
    <mergeCell ref="BR104:BR105"/>
    <mergeCell ref="BX118:BY118"/>
    <mergeCell ref="BY107:CA110"/>
    <mergeCell ref="BT99:BU100"/>
    <mergeCell ref="BV99:BW100"/>
    <mergeCell ref="BS106:BS108"/>
    <mergeCell ref="BT106:BT108"/>
    <mergeCell ref="BQ94:BQ95"/>
    <mergeCell ref="BR91:BR93"/>
    <mergeCell ref="BR94:BR95"/>
    <mergeCell ref="BS91:BS93"/>
    <mergeCell ref="BZ78:BZ79"/>
    <mergeCell ref="BY42:BZ45"/>
    <mergeCell ref="BY46:BZ47"/>
    <mergeCell ref="BQ28:BQ29"/>
    <mergeCell ref="BR28:BR29"/>
    <mergeCell ref="BS28:BS29"/>
    <mergeCell ref="BT28:BT29"/>
    <mergeCell ref="BQ40:BQ41"/>
    <mergeCell ref="BR40:BR41"/>
    <mergeCell ref="BS36:BS39"/>
    <mergeCell ref="BZ75:CA77"/>
    <mergeCell ref="BR81:BR82"/>
    <mergeCell ref="BS81:BS82"/>
    <mergeCell ref="CA28:CA31"/>
    <mergeCell ref="BY36:BZ39"/>
    <mergeCell ref="CA36:CA39"/>
    <mergeCell ref="BQ36:BQ39"/>
    <mergeCell ref="BR36:BR39"/>
    <mergeCell ref="CA32:CA33"/>
    <mergeCell ref="CA42:CA45"/>
    <mergeCell ref="BS54:BS55"/>
    <mergeCell ref="AD7:AD8"/>
    <mergeCell ref="AD9:AD10"/>
    <mergeCell ref="AD11:AD12"/>
    <mergeCell ref="AD13:AD14"/>
    <mergeCell ref="AD15:AD16"/>
    <mergeCell ref="AD17:AD18"/>
    <mergeCell ref="AD19:AD20"/>
    <mergeCell ref="AD21:AD22"/>
    <mergeCell ref="AH7:AH8"/>
    <mergeCell ref="AE7:AE8"/>
    <mergeCell ref="AF7:AF8"/>
    <mergeCell ref="AG7:AG8"/>
    <mergeCell ref="AN9:AN10"/>
    <mergeCell ref="AO9:AO10"/>
    <mergeCell ref="AP9:AP10"/>
    <mergeCell ref="AQ9:AQ10"/>
    <mergeCell ref="AE11:AE12"/>
    <mergeCell ref="AF11:AF12"/>
    <mergeCell ref="AG11:AG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E9:AE10"/>
    <mergeCell ref="AJ7:AJ8"/>
    <mergeCell ref="AK7:AK8"/>
    <mergeCell ref="AL7:AL8"/>
    <mergeCell ref="AE19:AE20"/>
    <mergeCell ref="BH44:BH46"/>
    <mergeCell ref="BK14:BK17"/>
    <mergeCell ref="BK18:BK21"/>
    <mergeCell ref="BL14:BL16"/>
    <mergeCell ref="AX9:AY9"/>
    <mergeCell ref="AL41:AL42"/>
    <mergeCell ref="AM41:AM42"/>
    <mergeCell ref="AP37:AP38"/>
    <mergeCell ref="AL39:AL40"/>
    <mergeCell ref="AM39:AM40"/>
    <mergeCell ref="AN39:AN40"/>
    <mergeCell ref="AO39:AO40"/>
    <mergeCell ref="AP39:AP40"/>
    <mergeCell ref="AQ41:AQ42"/>
    <mergeCell ref="AN43:AN44"/>
    <mergeCell ref="AO43:AO44"/>
    <mergeCell ref="AP43:AP44"/>
    <mergeCell ref="AQ43:AQ44"/>
    <mergeCell ref="AP31:AP32"/>
    <mergeCell ref="AO13:AO14"/>
    <mergeCell ref="AE17:AE18"/>
    <mergeCell ref="AF17:AF18"/>
    <mergeCell ref="AG17:AG18"/>
    <mergeCell ref="AH17:AH18"/>
    <mergeCell ref="AR11:AR12"/>
    <mergeCell ref="AR13:AR14"/>
    <mergeCell ref="AR15:AR16"/>
    <mergeCell ref="AR17:AR18"/>
    <mergeCell ref="AR19:AR20"/>
    <mergeCell ref="AR21:AR22"/>
    <mergeCell ref="AR23:AR24"/>
    <mergeCell ref="BK37:BN37"/>
    <mergeCell ref="AI17:AI18"/>
    <mergeCell ref="AJ17:AJ18"/>
    <mergeCell ref="BM18:BM20"/>
    <mergeCell ref="BN18:BN20"/>
    <mergeCell ref="AX23:AY23"/>
    <mergeCell ref="AX35:AY35"/>
    <mergeCell ref="BM22:BM24"/>
    <mergeCell ref="BK41:BN41"/>
    <mergeCell ref="AX19:AY19"/>
    <mergeCell ref="AX31:AY31"/>
    <mergeCell ref="AW17:AW23"/>
    <mergeCell ref="AQ37:AQ38"/>
    <mergeCell ref="AI41:AI42"/>
    <mergeCell ref="AJ41:AJ42"/>
    <mergeCell ref="AK41:AK42"/>
    <mergeCell ref="AN33:AN34"/>
    <mergeCell ref="AK33:AK34"/>
    <mergeCell ref="BN22:BN24"/>
    <mergeCell ref="AJ25:AJ26"/>
    <mergeCell ref="AK25:AK26"/>
    <mergeCell ref="AL25:AL26"/>
    <mergeCell ref="AM25:AM26"/>
    <mergeCell ref="AN25:AN26"/>
    <mergeCell ref="AP17:AP18"/>
    <mergeCell ref="AN21:AN22"/>
    <mergeCell ref="AO21:AO22"/>
    <mergeCell ref="AP21:AP22"/>
    <mergeCell ref="AQ21:AQ22"/>
    <mergeCell ref="AR25:AR26"/>
    <mergeCell ref="AR27:AR28"/>
    <mergeCell ref="AR29:AR30"/>
    <mergeCell ref="AR61:AR62"/>
    <mergeCell ref="AR63:AR64"/>
    <mergeCell ref="AR65:AR66"/>
    <mergeCell ref="AR67:AR68"/>
    <mergeCell ref="BK61:BM61"/>
    <mergeCell ref="AR69:AR70"/>
    <mergeCell ref="BX24:BX47"/>
    <mergeCell ref="BS30:BS33"/>
    <mergeCell ref="BT30:BU33"/>
    <mergeCell ref="AS31:AS32"/>
    <mergeCell ref="AS33:AS34"/>
    <mergeCell ref="AS35:AS36"/>
    <mergeCell ref="AS47:AS48"/>
    <mergeCell ref="AS49:AS50"/>
    <mergeCell ref="AS51:AS52"/>
    <mergeCell ref="BV30:BW33"/>
    <mergeCell ref="AS39:AS40"/>
    <mergeCell ref="AS37:AS38"/>
    <mergeCell ref="BL22:BL24"/>
    <mergeCell ref="BT46:BU47"/>
    <mergeCell ref="BQ30:BR35"/>
    <mergeCell ref="BS42:BS45"/>
    <mergeCell ref="BT34:BU35"/>
    <mergeCell ref="BV34:BW35"/>
    <mergeCell ref="AS61:AS62"/>
    <mergeCell ref="AS63:AS64"/>
    <mergeCell ref="AS65:AS66"/>
    <mergeCell ref="AS67:AS68"/>
    <mergeCell ref="BT54:BT55"/>
    <mergeCell ref="BQ48:BX49"/>
    <mergeCell ref="BT42:BU45"/>
    <mergeCell ref="BK45:BN45"/>
    <mergeCell ref="AK75:AK76"/>
    <mergeCell ref="AX75:AX76"/>
    <mergeCell ref="AD75:AD76"/>
    <mergeCell ref="AE67:AE68"/>
    <mergeCell ref="AI53:AI54"/>
    <mergeCell ref="AJ53:AJ54"/>
    <mergeCell ref="AK63:AK64"/>
    <mergeCell ref="AE45:AE46"/>
    <mergeCell ref="AF45:AF46"/>
    <mergeCell ref="AL45:AL46"/>
    <mergeCell ref="AM45:AM46"/>
    <mergeCell ref="AK53:AK54"/>
    <mergeCell ref="AL53:AL54"/>
    <mergeCell ref="AM53:AM54"/>
    <mergeCell ref="AG51:AG52"/>
    <mergeCell ref="AE49:AE50"/>
    <mergeCell ref="AF49:AF50"/>
    <mergeCell ref="AG49:AG50"/>
    <mergeCell ref="AL49:AL50"/>
    <mergeCell ref="AK51:AK52"/>
    <mergeCell ref="AL51:AL52"/>
    <mergeCell ref="AM51:AM52"/>
    <mergeCell ref="AG59:AG60"/>
    <mergeCell ref="AH59:AH60"/>
    <mergeCell ref="AI59:AI60"/>
    <mergeCell ref="AJ59:AJ60"/>
    <mergeCell ref="AK59:AK60"/>
    <mergeCell ref="AF61:AF62"/>
    <mergeCell ref="AG61:AG62"/>
    <mergeCell ref="AJ55:AJ56"/>
    <mergeCell ref="AK55:AK56"/>
    <mergeCell ref="AL55:AL56"/>
    <mergeCell ref="AL71:AL72"/>
    <mergeCell ref="AM55:AM56"/>
    <mergeCell ref="AN55:AN56"/>
    <mergeCell ref="AO55:AO56"/>
    <mergeCell ref="AP55:AP56"/>
    <mergeCell ref="AQ55:AQ56"/>
    <mergeCell ref="AE53:AE54"/>
    <mergeCell ref="AF53:AF54"/>
    <mergeCell ref="AG53:AG54"/>
    <mergeCell ref="AO57:AO58"/>
    <mergeCell ref="AP57:AP58"/>
    <mergeCell ref="AO67:AO68"/>
    <mergeCell ref="AP67:AP68"/>
    <mergeCell ref="AN51:AN52"/>
    <mergeCell ref="AO51:AO52"/>
    <mergeCell ref="AP51:AP52"/>
    <mergeCell ref="AQ51:AQ52"/>
    <mergeCell ref="AL65:AL66"/>
    <mergeCell ref="AM65:AM66"/>
    <mergeCell ref="AN65:AN66"/>
    <mergeCell ref="AM71:AM72"/>
    <mergeCell ref="AN71:AN72"/>
    <mergeCell ref="AH53:AH54"/>
    <mergeCell ref="AK65:AK66"/>
    <mergeCell ref="AL67:AL68"/>
    <mergeCell ref="AM67:AM68"/>
    <mergeCell ref="AN67:AN68"/>
    <mergeCell ref="AO69:AO70"/>
    <mergeCell ref="AP69:AP70"/>
    <mergeCell ref="AQ69:AQ70"/>
    <mergeCell ref="AK71:AK72"/>
    <mergeCell ref="AF69:AF70"/>
    <mergeCell ref="AW69:AY69"/>
    <mergeCell ref="AW71:AX71"/>
    <mergeCell ref="AW85:AX89"/>
    <mergeCell ref="AY72:AY74"/>
    <mergeCell ref="AZ72:AZ74"/>
    <mergeCell ref="BG88:BG89"/>
    <mergeCell ref="BF90:BF91"/>
    <mergeCell ref="BL75:BO76"/>
    <mergeCell ref="BM80:BM81"/>
    <mergeCell ref="BN80:BN81"/>
    <mergeCell ref="AY71:BC71"/>
    <mergeCell ref="BK69:BM69"/>
    <mergeCell ref="AR73:AR74"/>
    <mergeCell ref="AS73:AS74"/>
    <mergeCell ref="AS71:AS72"/>
    <mergeCell ref="AR75:AR76"/>
    <mergeCell ref="BF75:BF76"/>
    <mergeCell ref="AZ75:AZ76"/>
    <mergeCell ref="BA75:BA76"/>
    <mergeCell ref="BB75:BB76"/>
    <mergeCell ref="BE75:BE76"/>
    <mergeCell ref="AR83:AR84"/>
    <mergeCell ref="AS83:AS84"/>
    <mergeCell ref="AY75:AY76"/>
    <mergeCell ref="AW73:AW79"/>
    <mergeCell ref="AY88:AY89"/>
    <mergeCell ref="AZ88:AZ89"/>
    <mergeCell ref="BA88:BA89"/>
    <mergeCell ref="BB88:BB89"/>
    <mergeCell ref="BC88:BC89"/>
    <mergeCell ref="AQ61:AQ62"/>
    <mergeCell ref="AS75:AS76"/>
    <mergeCell ref="AS69:AS70"/>
    <mergeCell ref="BL83:BL84"/>
    <mergeCell ref="BM83:BM84"/>
    <mergeCell ref="BN83:BN84"/>
    <mergeCell ref="BL86:BL87"/>
    <mergeCell ref="BM86:BM87"/>
    <mergeCell ref="BN86:BN87"/>
    <mergeCell ref="BF88:BF89"/>
    <mergeCell ref="BK1:BO1"/>
    <mergeCell ref="B11:AB11"/>
    <mergeCell ref="C15:F15"/>
    <mergeCell ref="C17:F17"/>
    <mergeCell ref="C19:F19"/>
    <mergeCell ref="O39:P39"/>
    <mergeCell ref="Q39:Y39"/>
    <mergeCell ref="AI67:AI68"/>
    <mergeCell ref="V45:X45"/>
    <mergeCell ref="V57:X57"/>
    <mergeCell ref="H49:I49"/>
    <mergeCell ref="V35:X35"/>
    <mergeCell ref="V47:X47"/>
    <mergeCell ref="V59:X59"/>
    <mergeCell ref="H25:I25"/>
    <mergeCell ref="H29:I29"/>
    <mergeCell ref="H43:I43"/>
    <mergeCell ref="C61:I63"/>
    <mergeCell ref="H27:I27"/>
    <mergeCell ref="H31:I31"/>
    <mergeCell ref="H33:I33"/>
    <mergeCell ref="AW80:AY80"/>
    <mergeCell ref="B3:C3"/>
    <mergeCell ref="B4:C4"/>
    <mergeCell ref="B5:C5"/>
    <mergeCell ref="B6:C6"/>
    <mergeCell ref="D3:L3"/>
    <mergeCell ref="D4:L4"/>
    <mergeCell ref="D5:L5"/>
    <mergeCell ref="D6:L6"/>
    <mergeCell ref="H17:I17"/>
    <mergeCell ref="H15:I15"/>
    <mergeCell ref="N74:AB76"/>
    <mergeCell ref="H19:I19"/>
    <mergeCell ref="J15:K15"/>
    <mergeCell ref="J19:K19"/>
    <mergeCell ref="J23:K23"/>
    <mergeCell ref="B70:L73"/>
    <mergeCell ref="B68:L69"/>
    <mergeCell ref="O21:U23"/>
    <mergeCell ref="V21:X23"/>
    <mergeCell ref="R53:S53"/>
    <mergeCell ref="V15:X15"/>
    <mergeCell ref="V17:X17"/>
    <mergeCell ref="V19:X19"/>
    <mergeCell ref="Q27:Y27"/>
    <mergeCell ref="O27:P27"/>
    <mergeCell ref="C37:F37"/>
    <mergeCell ref="C39:F39"/>
    <mergeCell ref="C41:F41"/>
    <mergeCell ref="B43:F43"/>
    <mergeCell ref="C45:F45"/>
    <mergeCell ref="C47:F47"/>
    <mergeCell ref="C49:F49"/>
    <mergeCell ref="AW5:AW8"/>
    <mergeCell ref="AK31:AK32"/>
    <mergeCell ref="AL31:AL32"/>
    <mergeCell ref="AG45:AG46"/>
    <mergeCell ref="AH45:AH46"/>
    <mergeCell ref="AR47:AR48"/>
    <mergeCell ref="AR49:AR50"/>
    <mergeCell ref="AR51:AR52"/>
    <mergeCell ref="AR53:AR54"/>
    <mergeCell ref="AR55:AR56"/>
    <mergeCell ref="AR57:AR58"/>
    <mergeCell ref="B1:AB1"/>
    <mergeCell ref="B9:AB10"/>
    <mergeCell ref="H39:I39"/>
    <mergeCell ref="H47:I47"/>
    <mergeCell ref="H37:I37"/>
    <mergeCell ref="H45:I45"/>
    <mergeCell ref="H23:I23"/>
    <mergeCell ref="H53:I53"/>
    <mergeCell ref="O25:Y25"/>
    <mergeCell ref="AW41:AX41"/>
    <mergeCell ref="AE41:AE42"/>
    <mergeCell ref="AF41:AF42"/>
    <mergeCell ref="AS53:AS54"/>
    <mergeCell ref="AS55:AS56"/>
    <mergeCell ref="AS57:AS58"/>
    <mergeCell ref="AP13:AP14"/>
    <mergeCell ref="AQ13:AQ14"/>
    <mergeCell ref="AK13:AK14"/>
    <mergeCell ref="AL13:AL14"/>
    <mergeCell ref="AM13:AM14"/>
    <mergeCell ref="AN13:AN14"/>
    <mergeCell ref="O7:AA8"/>
    <mergeCell ref="B2:AB2"/>
    <mergeCell ref="B12:L13"/>
    <mergeCell ref="N12:AB13"/>
    <mergeCell ref="C23:F23"/>
    <mergeCell ref="C29:F29"/>
    <mergeCell ref="BD44:BD46"/>
    <mergeCell ref="BE44:BE46"/>
    <mergeCell ref="BF44:BF46"/>
    <mergeCell ref="BG44:BG46"/>
    <mergeCell ref="AW45:AW54"/>
    <mergeCell ref="AY44:AY46"/>
    <mergeCell ref="AZ44:AZ46"/>
    <mergeCell ref="BA44:BA46"/>
    <mergeCell ref="BB44:BB46"/>
    <mergeCell ref="AW55:AY55"/>
    <mergeCell ref="AY57:BC57"/>
    <mergeCell ref="BD57:BH57"/>
    <mergeCell ref="BE4:BG4"/>
    <mergeCell ref="BA29:BD29"/>
    <mergeCell ref="BE13:BF13"/>
    <mergeCell ref="AX4:AZ4"/>
    <mergeCell ref="AX17:AZ18"/>
    <mergeCell ref="AX29:AZ30"/>
    <mergeCell ref="BC44:BC46"/>
    <mergeCell ref="AX5:AY5"/>
    <mergeCell ref="BA5:BC5"/>
    <mergeCell ref="BE5:BF5"/>
    <mergeCell ref="BE7:BF7"/>
    <mergeCell ref="BA7:BC7"/>
    <mergeCell ref="BA17:BD17"/>
    <mergeCell ref="AK47:AK48"/>
    <mergeCell ref="BT24:BT27"/>
    <mergeCell ref="BQ50:BQ53"/>
    <mergeCell ref="BQ20:BQ21"/>
    <mergeCell ref="BN14:BN16"/>
    <mergeCell ref="CA78:CA79"/>
    <mergeCell ref="BZ80:BZ81"/>
    <mergeCell ref="BV96:BW98"/>
    <mergeCell ref="BS99:BS100"/>
    <mergeCell ref="BK111:BM111"/>
    <mergeCell ref="BO83:BO84"/>
    <mergeCell ref="BS79:BS80"/>
    <mergeCell ref="BT79:BU80"/>
    <mergeCell ref="BV79:BW80"/>
    <mergeCell ref="BQ79:BQ80"/>
    <mergeCell ref="BT81:BU82"/>
    <mergeCell ref="BQ83:BY84"/>
    <mergeCell ref="BQ90:BY90"/>
    <mergeCell ref="BY97:CA98"/>
    <mergeCell ref="BT85:BT87"/>
    <mergeCell ref="CA99:CA100"/>
    <mergeCell ref="BQ91:BQ93"/>
    <mergeCell ref="BK83:BK85"/>
    <mergeCell ref="BO86:BO87"/>
    <mergeCell ref="BO80:BO81"/>
    <mergeCell ref="BN77:BN78"/>
    <mergeCell ref="BM14:BM16"/>
    <mergeCell ref="BQ104:BQ105"/>
    <mergeCell ref="BR50:BR53"/>
    <mergeCell ref="BS50:BS53"/>
    <mergeCell ref="BS94:BS95"/>
    <mergeCell ref="BT104:BT105"/>
    <mergeCell ref="BU101:BW105"/>
    <mergeCell ref="BK2:BO2"/>
    <mergeCell ref="BK3:BO3"/>
    <mergeCell ref="BK4:BO4"/>
    <mergeCell ref="BK5:BO5"/>
    <mergeCell ref="BL10:BL12"/>
    <mergeCell ref="BM10:BM12"/>
    <mergeCell ref="BN10:BN12"/>
    <mergeCell ref="BO10:BO12"/>
    <mergeCell ref="BK7:BO8"/>
    <mergeCell ref="BL9:BO9"/>
    <mergeCell ref="BK10:BK13"/>
    <mergeCell ref="BU120:BV121"/>
    <mergeCell ref="BQ77:BY78"/>
    <mergeCell ref="BQ88:BQ89"/>
    <mergeCell ref="BQ81:BQ82"/>
    <mergeCell ref="BU94:BV95"/>
    <mergeCell ref="BT94:BT95"/>
    <mergeCell ref="BW94:BW95"/>
    <mergeCell ref="BX116:BY116"/>
    <mergeCell ref="BX113:BY113"/>
    <mergeCell ref="BX117:BY117"/>
    <mergeCell ref="BK71:BM71"/>
    <mergeCell ref="BL80:BL81"/>
    <mergeCell ref="BT91:BT93"/>
    <mergeCell ref="BY26:CA27"/>
    <mergeCell ref="BX79:BY80"/>
    <mergeCell ref="BR85:BS87"/>
    <mergeCell ref="BQ56:BQ59"/>
    <mergeCell ref="CA46:CA47"/>
    <mergeCell ref="CA80:CA81"/>
    <mergeCell ref="CA40:CA41"/>
    <mergeCell ref="BY40:BZ41"/>
    <mergeCell ref="BK159:BM159"/>
    <mergeCell ref="BL142:BL144"/>
    <mergeCell ref="BM142:BM144"/>
    <mergeCell ref="BN142:BN144"/>
    <mergeCell ref="BK165:BM165"/>
    <mergeCell ref="BO22:BO24"/>
    <mergeCell ref="BK22:BK25"/>
    <mergeCell ref="BK106:BM106"/>
    <mergeCell ref="BK108:BM108"/>
    <mergeCell ref="BK109:BM109"/>
    <mergeCell ref="BQ111:BX111"/>
    <mergeCell ref="BL77:BL78"/>
    <mergeCell ref="BM77:BM78"/>
    <mergeCell ref="BK130:BK133"/>
    <mergeCell ref="BK134:BK137"/>
    <mergeCell ref="BK110:BM110"/>
    <mergeCell ref="BK86:BK88"/>
    <mergeCell ref="BK80:BK82"/>
    <mergeCell ref="BK162:BM162"/>
    <mergeCell ref="BK164:BM164"/>
    <mergeCell ref="BK160:BM160"/>
    <mergeCell ref="BK154:BN154"/>
    <mergeCell ref="BK148:BN148"/>
    <mergeCell ref="BN138:BN140"/>
    <mergeCell ref="BV153:BW154"/>
    <mergeCell ref="BU145:BV147"/>
    <mergeCell ref="BW145:BW147"/>
    <mergeCell ref="BT142:BT143"/>
    <mergeCell ref="BU142:BV143"/>
    <mergeCell ref="BR148:BR149"/>
    <mergeCell ref="BS148:BS149"/>
    <mergeCell ref="BT148:BT149"/>
    <mergeCell ref="BS120:BS121"/>
    <mergeCell ref="BT120:BT121"/>
    <mergeCell ref="BK166:BM166"/>
    <mergeCell ref="BS40:BS41"/>
    <mergeCell ref="BK167:BM167"/>
    <mergeCell ref="BW24:BW27"/>
    <mergeCell ref="BW28:BW29"/>
    <mergeCell ref="BU28:BV29"/>
    <mergeCell ref="BS34:BS35"/>
    <mergeCell ref="BU24:BV27"/>
    <mergeCell ref="BT50:BT53"/>
    <mergeCell ref="BU50:BV53"/>
    <mergeCell ref="BQ46:BQ47"/>
    <mergeCell ref="BR46:BR47"/>
    <mergeCell ref="BS46:BS47"/>
    <mergeCell ref="BV42:BW47"/>
    <mergeCell ref="BQ60:BQ61"/>
    <mergeCell ref="BR56:BR59"/>
    <mergeCell ref="BR60:BR61"/>
    <mergeCell ref="BU54:BV55"/>
    <mergeCell ref="BQ54:BQ55"/>
    <mergeCell ref="BR54:BR55"/>
    <mergeCell ref="BT40:BT41"/>
    <mergeCell ref="BU36:BW41"/>
    <mergeCell ref="BK55:BM55"/>
    <mergeCell ref="BK57:BM57"/>
    <mergeCell ref="BK59:BM59"/>
    <mergeCell ref="BK138:BK141"/>
    <mergeCell ref="BK104:BM104"/>
    <mergeCell ref="BK142:BK145"/>
    <mergeCell ref="BU85:BV87"/>
    <mergeCell ref="BT88:BT89"/>
    <mergeCell ref="BU20:BV21"/>
    <mergeCell ref="BQ22:BX23"/>
    <mergeCell ref="BU88:BV89"/>
    <mergeCell ref="BQ85:BQ87"/>
    <mergeCell ref="BQ96:BR100"/>
    <mergeCell ref="BG90:BG91"/>
    <mergeCell ref="BK65:BM65"/>
    <mergeCell ref="BK67:BM67"/>
    <mergeCell ref="BK43:BN43"/>
    <mergeCell ref="BM130:BM132"/>
    <mergeCell ref="BK161:BM161"/>
    <mergeCell ref="BR106:BR108"/>
    <mergeCell ref="BQ109:BQ110"/>
    <mergeCell ref="BR109:BR110"/>
    <mergeCell ref="BS109:BS110"/>
    <mergeCell ref="BT109:BT110"/>
    <mergeCell ref="BQ106:BQ108"/>
    <mergeCell ref="BR101:BR103"/>
    <mergeCell ref="BS101:BS103"/>
    <mergeCell ref="BO134:BO136"/>
    <mergeCell ref="BM138:BM140"/>
    <mergeCell ref="BL130:BL132"/>
    <mergeCell ref="BL129:BO129"/>
    <mergeCell ref="BN130:BN132"/>
    <mergeCell ref="BO130:BO132"/>
    <mergeCell ref="BL134:BL136"/>
    <mergeCell ref="BK103:BM103"/>
    <mergeCell ref="BK105:BM105"/>
    <mergeCell ref="BS153:BS154"/>
    <mergeCell ref="BT153:BU154"/>
    <mergeCell ref="BS104:BS105"/>
    <mergeCell ref="BT101:BT103"/>
    <mergeCell ref="BF93:BH94"/>
    <mergeCell ref="BR42:BR45"/>
    <mergeCell ref="BQ42:BQ45"/>
    <mergeCell ref="BX81:BY82"/>
    <mergeCell ref="BK98:BN98"/>
    <mergeCell ref="BK97:BN97"/>
    <mergeCell ref="BG75:BG76"/>
    <mergeCell ref="BH75:BH76"/>
    <mergeCell ref="BH90:BH91"/>
    <mergeCell ref="BV81:BW82"/>
    <mergeCell ref="BW50:BW53"/>
    <mergeCell ref="BR79:BR80"/>
    <mergeCell ref="BF85:BH87"/>
    <mergeCell ref="BW91:BW93"/>
    <mergeCell ref="BH88:BH89"/>
    <mergeCell ref="BW85:BY89"/>
    <mergeCell ref="BK77:BK79"/>
    <mergeCell ref="BF58:BF60"/>
    <mergeCell ref="BG58:BG60"/>
    <mergeCell ref="BH58:BH60"/>
    <mergeCell ref="BR88:BS89"/>
    <mergeCell ref="BH72:BH74"/>
    <mergeCell ref="BD71:BH71"/>
    <mergeCell ref="BY8:BY11"/>
    <mergeCell ref="BA21:BC21"/>
    <mergeCell ref="BA23:BC23"/>
    <mergeCell ref="BA31:BC31"/>
    <mergeCell ref="BA33:BC33"/>
    <mergeCell ref="BA35:BC35"/>
    <mergeCell ref="AW14:BG15"/>
    <mergeCell ref="AW25:BG27"/>
    <mergeCell ref="AW29:AW35"/>
    <mergeCell ref="BQ8:BQ11"/>
    <mergeCell ref="BQ4:BY5"/>
    <mergeCell ref="BK75:BK76"/>
    <mergeCell ref="BY32:BZ33"/>
    <mergeCell ref="BK33:BN33"/>
    <mergeCell ref="AY85:AY87"/>
    <mergeCell ref="AZ85:AZ87"/>
    <mergeCell ref="BA85:BA87"/>
    <mergeCell ref="BB85:BB87"/>
    <mergeCell ref="BC85:BC87"/>
    <mergeCell ref="BA4:BD4"/>
    <mergeCell ref="BA9:BC9"/>
    <mergeCell ref="BA11:BC11"/>
    <mergeCell ref="BA72:BA74"/>
    <mergeCell ref="BB72:BB74"/>
    <mergeCell ref="AW84:BH84"/>
    <mergeCell ref="BC72:BC74"/>
    <mergeCell ref="BD72:BD74"/>
    <mergeCell ref="BE72:BE74"/>
    <mergeCell ref="BF72:BF74"/>
    <mergeCell ref="BG72:BG74"/>
    <mergeCell ref="BO14:BO16"/>
    <mergeCell ref="BL18:BL20"/>
    <mergeCell ref="CA7:CA9"/>
    <mergeCell ref="BR8:BR11"/>
    <mergeCell ref="BY12:BY13"/>
    <mergeCell ref="BY15:BY25"/>
    <mergeCell ref="BS24:BS27"/>
    <mergeCell ref="BS8:BS11"/>
    <mergeCell ref="BT8:BU11"/>
    <mergeCell ref="BR16:BS19"/>
    <mergeCell ref="BT16:BT19"/>
    <mergeCell ref="BU16:BV19"/>
    <mergeCell ref="BT12:BU13"/>
    <mergeCell ref="BY34:CA35"/>
    <mergeCell ref="BV8:BW11"/>
    <mergeCell ref="BZ12:CA25"/>
    <mergeCell ref="BT36:BT39"/>
    <mergeCell ref="CA10:CA11"/>
    <mergeCell ref="BK39:BN39"/>
    <mergeCell ref="BX8:BX11"/>
    <mergeCell ref="BQ12:BQ13"/>
    <mergeCell ref="BR12:BR13"/>
    <mergeCell ref="BS12:BS13"/>
    <mergeCell ref="BW16:BX21"/>
    <mergeCell ref="BX12:BX13"/>
    <mergeCell ref="BY28:BZ31"/>
    <mergeCell ref="BV12:BW13"/>
    <mergeCell ref="BZ10:BZ11"/>
    <mergeCell ref="BQ16:BQ19"/>
    <mergeCell ref="BK31:BN31"/>
    <mergeCell ref="BK35:BN35"/>
    <mergeCell ref="BO18:BO20"/>
    <mergeCell ref="BR20:BS21"/>
    <mergeCell ref="BT20:BT21"/>
    <mergeCell ref="BD43:BH43"/>
    <mergeCell ref="AY58:AY60"/>
    <mergeCell ref="AZ58:AZ60"/>
    <mergeCell ref="BA58:BA60"/>
    <mergeCell ref="BB58:BB60"/>
    <mergeCell ref="BC58:BC60"/>
    <mergeCell ref="BD58:BD60"/>
    <mergeCell ref="BE58:BE60"/>
    <mergeCell ref="AW59:AW68"/>
    <mergeCell ref="AW57:AX57"/>
    <mergeCell ref="AW37:BG39"/>
    <mergeCell ref="AW9:AW13"/>
    <mergeCell ref="BE23:BF23"/>
    <mergeCell ref="BE35:BF35"/>
    <mergeCell ref="BE17:BG17"/>
    <mergeCell ref="BE29:BG29"/>
    <mergeCell ref="BA19:BC19"/>
    <mergeCell ref="AP29:AP30"/>
    <mergeCell ref="AN29:AN30"/>
    <mergeCell ref="AN37:AN38"/>
    <mergeCell ref="AO29:AO30"/>
    <mergeCell ref="AK27:AK28"/>
    <mergeCell ref="AL27:AL28"/>
    <mergeCell ref="AM27:AM28"/>
    <mergeCell ref="AN27:AN28"/>
    <mergeCell ref="AQ25:AQ26"/>
    <mergeCell ref="AQ29:AQ30"/>
    <mergeCell ref="AO27:AO28"/>
    <mergeCell ref="AP27:AP28"/>
    <mergeCell ref="AQ27:AQ28"/>
    <mergeCell ref="AS59:AS60"/>
    <mergeCell ref="BA13:BC13"/>
    <mergeCell ref="AX13:AY13"/>
    <mergeCell ref="AW43:AX43"/>
    <mergeCell ref="AY43:BC43"/>
    <mergeCell ref="AR59:AR60"/>
    <mergeCell ref="AQ39:AQ40"/>
    <mergeCell ref="AR41:AR42"/>
    <mergeCell ref="AR43:AR44"/>
    <mergeCell ref="AR45:AR46"/>
    <mergeCell ref="AK43:AK44"/>
    <mergeCell ref="AL43:AL44"/>
    <mergeCell ref="AM43:AM44"/>
    <mergeCell ref="AP15:AP16"/>
    <mergeCell ref="AQ15:AQ16"/>
    <mergeCell ref="AR31:AR32"/>
    <mergeCell ref="AR33:AR34"/>
    <mergeCell ref="AR35:AR36"/>
    <mergeCell ref="AS45:AS46"/>
    <mergeCell ref="AQ19:AQ20"/>
    <mergeCell ref="AL29:AL30"/>
    <mergeCell ref="AM29:AM30"/>
    <mergeCell ref="AE51:AE52"/>
    <mergeCell ref="AF51:AF52"/>
    <mergeCell ref="AM49:AM50"/>
    <mergeCell ref="AH61:AH62"/>
    <mergeCell ref="AI61:AI62"/>
    <mergeCell ref="AM59:AM60"/>
    <mergeCell ref="AN59:AN60"/>
    <mergeCell ref="AE57:AE58"/>
    <mergeCell ref="AE55:AE56"/>
    <mergeCell ref="AF55:AF56"/>
    <mergeCell ref="AG55:AG56"/>
    <mergeCell ref="AH55:AH56"/>
    <mergeCell ref="AI55:AI56"/>
    <mergeCell ref="AE47:AE48"/>
    <mergeCell ref="AF47:AF48"/>
    <mergeCell ref="AP47:AP48"/>
    <mergeCell ref="AG47:AG48"/>
    <mergeCell ref="AG19:AG20"/>
    <mergeCell ref="AH19:AH20"/>
    <mergeCell ref="AI19:AI20"/>
    <mergeCell ref="AJ19:AJ20"/>
    <mergeCell ref="AK19:AK20"/>
    <mergeCell ref="AO25:AO26"/>
    <mergeCell ref="AP25:AP26"/>
    <mergeCell ref="AL19:AL20"/>
    <mergeCell ref="AM19:AM20"/>
    <mergeCell ref="AM31:AM32"/>
    <mergeCell ref="AN31:AN32"/>
    <mergeCell ref="AO31:AO32"/>
    <mergeCell ref="B27:F27"/>
    <mergeCell ref="Q102:R102"/>
    <mergeCell ref="R33:U33"/>
    <mergeCell ref="R35:U35"/>
    <mergeCell ref="R29:S29"/>
    <mergeCell ref="R31:S31"/>
    <mergeCell ref="R41:S41"/>
    <mergeCell ref="R43:S43"/>
    <mergeCell ref="R45:U45"/>
    <mergeCell ref="R47:U47"/>
    <mergeCell ref="V63:X63"/>
    <mergeCell ref="V65:X65"/>
    <mergeCell ref="V67:X67"/>
    <mergeCell ref="V69:X69"/>
    <mergeCell ref="V71:X71"/>
    <mergeCell ref="V78:X78"/>
    <mergeCell ref="V79:X79"/>
    <mergeCell ref="V80:X80"/>
    <mergeCell ref="V81:X81"/>
    <mergeCell ref="V82:X82"/>
    <mergeCell ref="R57:U57"/>
    <mergeCell ref="R59:U59"/>
    <mergeCell ref="H41:I41"/>
    <mergeCell ref="V33:X33"/>
    <mergeCell ref="B84:L84"/>
  </mergeCells>
  <conditionalFormatting sqref="H47:I47">
    <cfRule type="expression" dxfId="22" priority="19">
      <formula>($H$47&lt;$H$49)</formula>
    </cfRule>
  </conditionalFormatting>
  <conditionalFormatting sqref="AB101 S99 AB99">
    <cfRule type="expression" dxfId="21" priority="190">
      <formula>$J$99&gt;2</formula>
    </cfRule>
  </conditionalFormatting>
  <conditionalFormatting sqref="H45:I45">
    <cfRule type="expression" dxfId="20" priority="315">
      <formula>$H$45&lt;$AY$109</formula>
    </cfRule>
  </conditionalFormatting>
  <conditionalFormatting sqref="H29:I29">
    <cfRule type="expression" dxfId="19" priority="316">
      <formula>OR($H$29&lt;$AY$98,$H$29&gt;$AY$100)</formula>
    </cfRule>
  </conditionalFormatting>
  <conditionalFormatting sqref="H27">
    <cfRule type="expression" dxfId="18" priority="550">
      <formula>OR($H$27&lt;$AY$102,$H$27&gt;$AY$103)</formula>
    </cfRule>
  </conditionalFormatting>
  <conditionalFormatting sqref="H31">
    <cfRule type="expression" dxfId="17" priority="594">
      <formula>OR($H$31&lt;$AY$105,$H$31&gt;$AY$107)</formula>
    </cfRule>
  </conditionalFormatting>
  <conditionalFormatting sqref="O48:Q48 Z48 O39:Z39 R47:Y48 O41:Z46 AA41:AA48">
    <cfRule type="expression" dxfId="16" priority="604">
      <formula>$H$37&gt;1</formula>
    </cfRule>
  </conditionalFormatting>
  <conditionalFormatting sqref="O49:AA49">
    <cfRule type="expression" dxfId="15" priority="613">
      <formula>$H$37&gt;1</formula>
    </cfRule>
  </conditionalFormatting>
  <conditionalFormatting sqref="O61:AA61">
    <cfRule type="expression" dxfId="14" priority="614">
      <formula>$H$37&gt;2</formula>
    </cfRule>
  </conditionalFormatting>
  <conditionalFormatting sqref="H39:I39">
    <cfRule type="expression" dxfId="13" priority="1">
      <formula>$H$39&lt;$BA$108</formula>
    </cfRule>
  </conditionalFormatting>
  <conditionalFormatting sqref="H41:I41">
    <cfRule type="expression" dxfId="12" priority="619">
      <formula>OR(AND(H23="Width",$H$41&gt;$H$43),AND(H23="Length",H41&lt;H43))</formula>
    </cfRule>
  </conditionalFormatting>
  <conditionalFormatting sqref="AA83 T82:U82 W82">
    <cfRule type="expression" dxfId="11" priority="629">
      <formula>$H$51="yes"</formula>
    </cfRule>
  </conditionalFormatting>
  <conditionalFormatting sqref="R31:Z31">
    <cfRule type="expression" dxfId="10" priority="630">
      <formula>$U$31&gt;0</formula>
    </cfRule>
  </conditionalFormatting>
  <conditionalFormatting sqref="T43:Z43 AA47">
    <cfRule type="expression" dxfId="9" priority="636">
      <formula>$U$43&gt;0</formula>
    </cfRule>
  </conditionalFormatting>
  <conditionalFormatting sqref="V45:W45 Y45:Z45 T43:Z43 S48:Z48 AA47:AA48">
    <cfRule type="expression" dxfId="8" priority="660">
      <formula>AND($H$37&gt;1,$U$43&gt;0)</formula>
    </cfRule>
  </conditionalFormatting>
  <conditionalFormatting sqref="W63">
    <cfRule type="expression" dxfId="7" priority="718">
      <formula>AND(J23=2,$V$63&gt;$H$25)</formula>
    </cfRule>
  </conditionalFormatting>
  <conditionalFormatting sqref="V64:W64 V66:W66">
    <cfRule type="expression" dxfId="6" priority="744">
      <formula>AND(I30=1,$V$65&gt;$H$25)</formula>
    </cfRule>
  </conditionalFormatting>
  <conditionalFormatting sqref="X64 X66">
    <cfRule type="expression" dxfId="5" priority="746">
      <formula>AND(H30=1,$V$65&gt;$H$25)</formula>
    </cfRule>
  </conditionalFormatting>
  <conditionalFormatting sqref="W65 W67">
    <cfRule type="expression" dxfId="4" priority="748">
      <formula>AND(J23=1,$V$65&gt;$H$25)</formula>
    </cfRule>
  </conditionalFormatting>
  <conditionalFormatting sqref="Y64 Y66">
    <cfRule type="expression" dxfId="3" priority="751">
      <formula>AND(J30=1,$V$65&gt;$H$25)</formula>
    </cfRule>
  </conditionalFormatting>
  <conditionalFormatting sqref="W69">
    <cfRule type="expression" dxfId="2" priority="753">
      <formula>AND(J29=1,$V$65&gt;$H$25)</formula>
    </cfRule>
  </conditionalFormatting>
  <conditionalFormatting sqref="O51:S51 AB59:AB61 Y60:AA60 O53:AB56 R59:X60 O57:AA57 O60:Q60">
    <cfRule type="expression" dxfId="1" priority="607">
      <formula>$H$37&gt;2</formula>
    </cfRule>
    <cfRule type="expression" dxfId="0" priority="608">
      <formula>AND($H$37&gt;2,#REF!&gt;0)</formula>
    </cfRule>
  </conditionalFormatting>
  <dataValidations count="5">
    <dataValidation type="list" allowBlank="1" showInputMessage="1" showErrorMessage="1" sqref="H57">
      <formula1>NY</formula1>
    </dataValidation>
    <dataValidation type="list" allowBlank="1" showInputMessage="1" showErrorMessage="1" sqref="J46:K46 H15:I15">
      <formula1>UnitSystem</formula1>
    </dataValidation>
    <dataValidation type="list" allowBlank="1" showInputMessage="1" showErrorMessage="1" sqref="H23:I23">
      <formula1>Constraint</formula1>
    </dataValidation>
    <dataValidation type="list" allowBlank="1" showInputMessage="1" showErrorMessage="1" sqref="H51">
      <formula1>YN</formula1>
    </dataValidation>
    <dataValidation type="list" allowBlank="1" showInputMessage="1" showErrorMessage="1" sqref="H19:I19">
      <formula1>AllChambers</formula1>
    </dataValidation>
  </dataValidations>
  <pageMargins left="0.7" right="0.7" top="0.75" bottom="0.75" header="0.3" footer="0.3"/>
  <pageSetup scale="6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5"/>
  <sheetViews>
    <sheetView workbookViewId="0">
      <selection activeCell="B8" sqref="B8"/>
    </sheetView>
  </sheetViews>
  <sheetFormatPr defaultRowHeight="15"/>
  <cols>
    <col min="1" max="1" width="13.28515625" customWidth="1"/>
    <col min="2" max="2" width="11" customWidth="1"/>
  </cols>
  <sheetData>
    <row r="1" spans="1:12">
      <c r="A1" s="1" t="s">
        <v>105</v>
      </c>
    </row>
    <row r="2" spans="1:12">
      <c r="A2" s="1" t="s">
        <v>6</v>
      </c>
    </row>
    <row r="4" spans="1:12">
      <c r="A4" s="1" t="s">
        <v>4</v>
      </c>
      <c r="B4" s="1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1" t="s">
        <v>218</v>
      </c>
      <c r="B5" s="1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1" t="s">
        <v>102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1" t="s">
        <v>103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1" t="s">
        <v>102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1" t="s">
        <v>103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4" spans="1:12">
      <c r="A14" s="1" t="s">
        <v>60</v>
      </c>
    </row>
    <row r="15" spans="1:12">
      <c r="A15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StormChamber System Calculator</vt:lpstr>
      <vt:lpstr>AllChambers</vt:lpstr>
      <vt:lpstr>Chambers</vt:lpstr>
      <vt:lpstr>Constraint</vt:lpstr>
      <vt:lpstr>NY</vt:lpstr>
      <vt:lpstr>SCalt</vt:lpstr>
      <vt:lpstr>UnitSystem</vt:lpstr>
      <vt:lpstr>YN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Maria Lehner</cp:lastModifiedBy>
  <cp:lastPrinted>2018-01-08T18:18:10Z</cp:lastPrinted>
  <dcterms:created xsi:type="dcterms:W3CDTF">2016-09-01T19:17:15Z</dcterms:created>
  <dcterms:modified xsi:type="dcterms:W3CDTF">2018-03-22T15:10:21Z</dcterms:modified>
</cp:coreProperties>
</file>